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EKONOMIST\Roaming\ТАРИФ 2021\На економіку\"/>
    </mc:Choice>
  </mc:AlternateContent>
  <xr:revisionPtr revIDLastSave="0" documentId="13_ncr:1_{8664E196-8EE9-4B47-8BE3-C972ED76C239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виробництво" sheetId="1" r:id="rId1"/>
    <sheet name="транспортування" sheetId="2" r:id="rId2"/>
    <sheet name="постачання" sheetId="3" r:id="rId3"/>
    <sheet name="ТЕ" sheetId="5" r:id="rId4"/>
    <sheet name="Лист1" sheetId="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5" l="1"/>
  <c r="K23" i="5" l="1"/>
  <c r="I20" i="5"/>
  <c r="I13" i="5"/>
  <c r="I25" i="5"/>
  <c r="G10" i="5"/>
  <c r="F32" i="1" l="1"/>
  <c r="G10" i="1"/>
  <c r="G8" i="1"/>
  <c r="G41" i="1"/>
  <c r="I9" i="1"/>
  <c r="I8" i="1"/>
  <c r="G7" i="1"/>
  <c r="G11" i="1"/>
  <c r="G9" i="1"/>
  <c r="G44" i="1"/>
  <c r="H44" i="1"/>
  <c r="I44" i="1"/>
  <c r="J44" i="1"/>
  <c r="K44" i="1"/>
  <c r="L44" i="1"/>
  <c r="F44" i="1"/>
  <c r="G43" i="1"/>
  <c r="H43" i="1"/>
  <c r="I43" i="1"/>
  <c r="J43" i="1"/>
  <c r="K43" i="1"/>
  <c r="F43" i="1"/>
  <c r="K32" i="1"/>
  <c r="J32" i="1"/>
  <c r="I32" i="1"/>
  <c r="I39" i="1" s="1"/>
  <c r="I46" i="1" s="1"/>
  <c r="H42" i="1"/>
  <c r="H37" i="1"/>
  <c r="H35" i="1"/>
  <c r="H34" i="1"/>
  <c r="K34" i="1"/>
  <c r="J34" i="1"/>
  <c r="G32" i="1"/>
  <c r="G27" i="1"/>
  <c r="J39" i="1"/>
  <c r="J42" i="1" s="1"/>
  <c r="H39" i="1"/>
  <c r="G39" i="1"/>
  <c r="H32" i="1"/>
  <c r="L32" i="1"/>
  <c r="F42" i="1"/>
  <c r="F6" i="1"/>
  <c r="F39" i="1"/>
  <c r="H41" i="1"/>
  <c r="I41" i="1"/>
  <c r="J41" i="1"/>
  <c r="K41" i="1"/>
  <c r="F41" i="1"/>
  <c r="K39" i="1" l="1"/>
  <c r="K46" i="1" s="1"/>
  <c r="I44" i="2"/>
  <c r="G29" i="2"/>
  <c r="K19" i="2"/>
  <c r="G6" i="2"/>
  <c r="I7" i="1"/>
  <c r="I9" i="2" l="1"/>
  <c r="I24" i="2"/>
  <c r="I22" i="2" s="1"/>
  <c r="I31" i="5"/>
  <c r="G31" i="5"/>
  <c r="K31" i="5"/>
  <c r="F31" i="5"/>
  <c r="F30" i="5"/>
  <c r="F27" i="5"/>
  <c r="F22" i="1"/>
  <c r="G24" i="5"/>
  <c r="H24" i="5"/>
  <c r="I24" i="5"/>
  <c r="K24" i="5"/>
  <c r="G17" i="5"/>
  <c r="H17" i="5"/>
  <c r="I17" i="5"/>
  <c r="J17" i="5"/>
  <c r="K17" i="5"/>
  <c r="F17" i="5"/>
  <c r="H13" i="5"/>
  <c r="J13" i="5"/>
  <c r="F13" i="5"/>
  <c r="G11" i="5"/>
  <c r="H11" i="5"/>
  <c r="I11" i="5"/>
  <c r="J11" i="5"/>
  <c r="K11" i="5"/>
  <c r="G12" i="5"/>
  <c r="H12" i="5"/>
  <c r="I12" i="5"/>
  <c r="J12" i="5"/>
  <c r="K12" i="5"/>
  <c r="F12" i="5"/>
  <c r="F11" i="5"/>
  <c r="F9" i="5"/>
  <c r="F29" i="5" l="1"/>
  <c r="F19" i="5"/>
  <c r="J9" i="5"/>
  <c r="K9" i="2" l="1"/>
  <c r="G9" i="2"/>
  <c r="K12" i="1"/>
  <c r="I12" i="1"/>
  <c r="G12" i="1"/>
  <c r="I9" i="5"/>
  <c r="K8" i="1"/>
  <c r="K7" i="1" s="1"/>
  <c r="G13" i="5" l="1"/>
  <c r="K13" i="5"/>
  <c r="G9" i="5"/>
  <c r="J35" i="5" l="1"/>
  <c r="F9" i="1"/>
  <c r="F10" i="5" l="1"/>
  <c r="K35" i="5"/>
  <c r="K38" i="5" l="1"/>
  <c r="K36" i="5" s="1"/>
  <c r="H9" i="1"/>
  <c r="J9" i="1"/>
  <c r="K9" i="1"/>
  <c r="K9" i="5"/>
  <c r="H9" i="5"/>
  <c r="J7" i="1"/>
  <c r="H10" i="5" l="1"/>
  <c r="J10" i="5"/>
  <c r="K10" i="5"/>
  <c r="H28" i="3"/>
  <c r="H31" i="5" l="1"/>
  <c r="K26" i="5"/>
  <c r="K29" i="5"/>
  <c r="H27" i="5"/>
  <c r="H26" i="5" s="1"/>
  <c r="J28" i="3"/>
  <c r="K7" i="3"/>
  <c r="I7" i="3"/>
  <c r="G26" i="5"/>
  <c r="G27" i="5"/>
  <c r="G28" i="5"/>
  <c r="J37" i="1"/>
  <c r="G19" i="2"/>
  <c r="G18" i="2"/>
  <c r="F14" i="2"/>
  <c r="F17" i="2"/>
  <c r="F18" i="2"/>
  <c r="F21" i="2"/>
  <c r="J24" i="2"/>
  <c r="J22" i="2" s="1"/>
  <c r="K24" i="2"/>
  <c r="G24" i="2"/>
  <c r="I30" i="3"/>
  <c r="I37" i="3" s="1"/>
  <c r="G37" i="3"/>
  <c r="F16" i="2"/>
  <c r="F21" i="3"/>
  <c r="F8" i="3"/>
  <c r="F24" i="5" l="1"/>
  <c r="J31" i="5"/>
  <c r="I38" i="5"/>
  <c r="I36" i="5" s="1"/>
  <c r="H36" i="5" s="1"/>
  <c r="H38" i="5"/>
  <c r="H37" i="5"/>
  <c r="H35" i="5"/>
  <c r="J36" i="5" l="1"/>
  <c r="J38" i="5" s="1"/>
  <c r="I38" i="6"/>
  <c r="H38" i="6" s="1"/>
  <c r="H37" i="6"/>
  <c r="K35" i="6"/>
  <c r="K38" i="6" s="1"/>
  <c r="H35" i="6"/>
  <c r="J35" i="6" l="1"/>
  <c r="I36" i="6"/>
  <c r="H36" i="6" s="1"/>
  <c r="K36" i="6"/>
  <c r="J36" i="6" s="1"/>
  <c r="J38" i="6" s="1"/>
  <c r="I37" i="1"/>
  <c r="I35" i="1" s="1"/>
  <c r="J18" i="2"/>
  <c r="J30" i="5"/>
  <c r="J27" i="5"/>
  <c r="I28" i="5"/>
  <c r="I26" i="5" s="1"/>
  <c r="G8" i="3"/>
  <c r="J25" i="3"/>
  <c r="J23" i="3" s="1"/>
  <c r="H25" i="3"/>
  <c r="F25" i="3"/>
  <c r="K8" i="3"/>
  <c r="I8" i="3"/>
  <c r="H8" i="3" s="1"/>
  <c r="H15" i="3" s="1"/>
  <c r="I25" i="3"/>
  <c r="K20" i="3"/>
  <c r="K23" i="3"/>
  <c r="K26" i="3"/>
  <c r="I26" i="3"/>
  <c r="G26" i="3"/>
  <c r="J8" i="3" l="1"/>
  <c r="K18" i="2"/>
  <c r="J15" i="3"/>
  <c r="H17" i="2"/>
  <c r="H14" i="2"/>
  <c r="J21" i="1"/>
  <c r="J20" i="1"/>
  <c r="J24" i="1"/>
  <c r="J23" i="1"/>
  <c r="J27" i="1"/>
  <c r="I30" i="5"/>
  <c r="G40" i="6"/>
  <c r="G47" i="6" s="1"/>
  <c r="G48" i="6" s="1"/>
  <c r="H40" i="6"/>
  <c r="J31" i="6"/>
  <c r="K31" i="6" s="1"/>
  <c r="K29" i="6" s="1"/>
  <c r="H31" i="6"/>
  <c r="I31" i="6" s="1"/>
  <c r="I29" i="6" s="1"/>
  <c r="F31" i="6"/>
  <c r="G31" i="6" s="1"/>
  <c r="G30" i="6"/>
  <c r="J28" i="6"/>
  <c r="K28" i="6" s="1"/>
  <c r="H28" i="6"/>
  <c r="I28" i="6" s="1"/>
  <c r="F28" i="6"/>
  <c r="G28" i="6" s="1"/>
  <c r="G27" i="6"/>
  <c r="J26" i="6"/>
  <c r="H26" i="6"/>
  <c r="I26" i="6" s="1"/>
  <c r="F26" i="6"/>
  <c r="G26" i="6" s="1"/>
  <c r="J25" i="6"/>
  <c r="K25" i="6" s="1"/>
  <c r="K23" i="6" s="1"/>
  <c r="H25" i="6"/>
  <c r="I25" i="6" s="1"/>
  <c r="I23" i="6" s="1"/>
  <c r="F25" i="6"/>
  <c r="G25" i="6" s="1"/>
  <c r="G24" i="6"/>
  <c r="J22" i="6"/>
  <c r="J20" i="6" s="1"/>
  <c r="I22" i="6"/>
  <c r="H22" i="6" s="1"/>
  <c r="H20" i="6" s="1"/>
  <c r="F22" i="6"/>
  <c r="G22" i="6" s="1"/>
  <c r="K21" i="6"/>
  <c r="K20" i="6" s="1"/>
  <c r="I21" i="6"/>
  <c r="G21" i="6"/>
  <c r="G19" i="6"/>
  <c r="K18" i="6"/>
  <c r="G18" i="6"/>
  <c r="G17" i="6"/>
  <c r="G13" i="6"/>
  <c r="G9" i="6"/>
  <c r="J8" i="6"/>
  <c r="K8" i="6" s="1"/>
  <c r="I8" i="6"/>
  <c r="H8" i="6"/>
  <c r="F8" i="6"/>
  <c r="G8" i="6" s="1"/>
  <c r="K7" i="6"/>
  <c r="G7" i="6"/>
  <c r="F27" i="1"/>
  <c r="F21" i="1"/>
  <c r="F20" i="1"/>
  <c r="F17" i="1"/>
  <c r="H17" i="1"/>
  <c r="H36" i="1"/>
  <c r="K21" i="5"/>
  <c r="G30" i="5"/>
  <c r="G29" i="5" s="1"/>
  <c r="H7" i="1" l="1"/>
  <c r="H18" i="5"/>
  <c r="F19" i="1"/>
  <c r="G19" i="1" s="1"/>
  <c r="F28" i="5"/>
  <c r="F26" i="5" s="1"/>
  <c r="I29" i="5"/>
  <c r="J24" i="5"/>
  <c r="H7" i="2"/>
  <c r="I14" i="2"/>
  <c r="I7" i="2" s="1"/>
  <c r="F7" i="1"/>
  <c r="I17" i="2"/>
  <c r="K37" i="1"/>
  <c r="K35" i="1" s="1"/>
  <c r="J35" i="1" s="1"/>
  <c r="F25" i="1"/>
  <c r="G20" i="6"/>
  <c r="G23" i="6"/>
  <c r="J22" i="1"/>
  <c r="I20" i="6"/>
  <c r="I33" i="6"/>
  <c r="I40" i="6" s="1"/>
  <c r="I47" i="6" s="1"/>
  <c r="I48" i="6" s="1"/>
  <c r="F20" i="6"/>
  <c r="H23" i="6"/>
  <c r="H7" i="6" s="1"/>
  <c r="K26" i="6"/>
  <c r="K33" i="6" s="1"/>
  <c r="K40" i="6" s="1"/>
  <c r="K47" i="6" s="1"/>
  <c r="K48" i="6" s="1"/>
  <c r="F29" i="6"/>
  <c r="G29" i="6" s="1"/>
  <c r="G33" i="6" s="1"/>
  <c r="J29" i="6"/>
  <c r="J33" i="6" s="1"/>
  <c r="F23" i="6"/>
  <c r="J23" i="6"/>
  <c r="H29" i="6"/>
  <c r="K27" i="1"/>
  <c r="K25" i="1" s="1"/>
  <c r="H27" i="1"/>
  <c r="K21" i="1"/>
  <c r="G21" i="1"/>
  <c r="K22" i="1"/>
  <c r="G24" i="1"/>
  <c r="K20" i="1"/>
  <c r="G20" i="1"/>
  <c r="G17" i="1"/>
  <c r="G19" i="5"/>
  <c r="G18" i="5" l="1"/>
  <c r="K6" i="1"/>
  <c r="H8" i="5"/>
  <c r="G22" i="1"/>
  <c r="I27" i="1"/>
  <c r="I25" i="1" s="1"/>
  <c r="H25" i="1"/>
  <c r="G25" i="1"/>
  <c r="J40" i="6"/>
  <c r="G6" i="1" l="1"/>
  <c r="G42" i="1" s="1"/>
  <c r="F23" i="3"/>
  <c r="G23" i="3" s="1"/>
  <c r="L25" i="3"/>
  <c r="L22" i="3"/>
  <c r="L19" i="3"/>
  <c r="J19" i="3" s="1"/>
  <c r="J22" i="5" s="1"/>
  <c r="L18" i="3"/>
  <c r="J25" i="1"/>
  <c r="H24" i="1"/>
  <c r="H21" i="1"/>
  <c r="J19" i="1"/>
  <c r="H20" i="1"/>
  <c r="J26" i="3"/>
  <c r="F26" i="3"/>
  <c r="L28" i="3"/>
  <c r="H23" i="3"/>
  <c r="J22" i="3"/>
  <c r="H19" i="3"/>
  <c r="I19" i="3" s="1"/>
  <c r="J18" i="3"/>
  <c r="J21" i="2"/>
  <c r="H21" i="2"/>
  <c r="H18" i="2"/>
  <c r="J17" i="2"/>
  <c r="J14" i="2"/>
  <c r="F19" i="3" l="1"/>
  <c r="J16" i="2"/>
  <c r="H19" i="2"/>
  <c r="I21" i="2"/>
  <c r="H22" i="5"/>
  <c r="F18" i="3"/>
  <c r="G18" i="3" s="1"/>
  <c r="F22" i="3"/>
  <c r="J7" i="2"/>
  <c r="J18" i="5"/>
  <c r="I18" i="2"/>
  <c r="I16" i="2" s="1"/>
  <c r="H16" i="2"/>
  <c r="J19" i="2"/>
  <c r="J25" i="5"/>
  <c r="G19" i="3"/>
  <c r="F22" i="5"/>
  <c r="J37" i="3"/>
  <c r="J6" i="1"/>
  <c r="J29" i="5"/>
  <c r="H18" i="3"/>
  <c r="H22" i="3"/>
  <c r="K14" i="2"/>
  <c r="K17" i="2"/>
  <c r="G21" i="2"/>
  <c r="K21" i="2"/>
  <c r="F22" i="2"/>
  <c r="F7" i="2"/>
  <c r="F19" i="2"/>
  <c r="I18" i="3"/>
  <c r="I17" i="3" s="1"/>
  <c r="J17" i="3"/>
  <c r="J7" i="3" s="1"/>
  <c r="K18" i="3"/>
  <c r="K19" i="3"/>
  <c r="K22" i="5" s="1"/>
  <c r="I22" i="3"/>
  <c r="I20" i="3" s="1"/>
  <c r="I21" i="1"/>
  <c r="F20" i="3"/>
  <c r="I23" i="3"/>
  <c r="I17" i="1"/>
  <c r="H22" i="1"/>
  <c r="I24" i="1"/>
  <c r="H19" i="1"/>
  <c r="I20" i="1"/>
  <c r="K47" i="1" l="1"/>
  <c r="K42" i="1"/>
  <c r="G17" i="3"/>
  <c r="F17" i="3"/>
  <c r="I22" i="5"/>
  <c r="I18" i="5"/>
  <c r="I8" i="5" s="1"/>
  <c r="F20" i="5"/>
  <c r="K25" i="5"/>
  <c r="K16" i="2"/>
  <c r="J23" i="5"/>
  <c r="J8" i="5"/>
  <c r="H25" i="5"/>
  <c r="F23" i="5"/>
  <c r="K18" i="5"/>
  <c r="K8" i="5" s="1"/>
  <c r="K7" i="2"/>
  <c r="K6" i="2" s="1"/>
  <c r="J20" i="5"/>
  <c r="G22" i="5"/>
  <c r="H6" i="2"/>
  <c r="J6" i="2"/>
  <c r="F25" i="5"/>
  <c r="G22" i="3"/>
  <c r="G20" i="3" s="1"/>
  <c r="F21" i="5"/>
  <c r="I19" i="2"/>
  <c r="H21" i="5"/>
  <c r="H20" i="3"/>
  <c r="H17" i="3"/>
  <c r="I19" i="1"/>
  <c r="H6" i="1"/>
  <c r="G7" i="2"/>
  <c r="F29" i="2"/>
  <c r="F36" i="2" s="1"/>
  <c r="I22" i="1"/>
  <c r="K17" i="3"/>
  <c r="K30" i="3" s="1"/>
  <c r="K37" i="3" s="1"/>
  <c r="F6" i="2"/>
  <c r="G22" i="2"/>
  <c r="G16" i="2"/>
  <c r="G21" i="5"/>
  <c r="G46" i="1"/>
  <c r="G47" i="1" s="1"/>
  <c r="G20" i="5" l="1"/>
  <c r="F7" i="3"/>
  <c r="J7" i="5"/>
  <c r="I21" i="5"/>
  <c r="I23" i="5"/>
  <c r="I7" i="5" s="1"/>
  <c r="J29" i="2"/>
  <c r="H23" i="5"/>
  <c r="H20" i="5"/>
  <c r="G23" i="5"/>
  <c r="I6" i="2"/>
  <c r="I29" i="2" s="1"/>
  <c r="G25" i="5"/>
  <c r="G7" i="3"/>
  <c r="K20" i="5"/>
  <c r="K7" i="5" s="1"/>
  <c r="K33" i="5" s="1"/>
  <c r="I42" i="1"/>
  <c r="K45" i="3"/>
  <c r="K44" i="3"/>
  <c r="G7" i="5" l="1"/>
  <c r="I47" i="1"/>
  <c r="H7" i="5"/>
  <c r="H33" i="5" s="1"/>
  <c r="H40" i="5" s="1"/>
  <c r="I6" i="1"/>
  <c r="H26" i="3"/>
  <c r="I10" i="5" l="1"/>
  <c r="H30" i="3"/>
  <c r="I40" i="5"/>
  <c r="I47" i="5" s="1"/>
  <c r="I48" i="5" s="1"/>
  <c r="G43" i="2"/>
  <c r="G36" i="2"/>
  <c r="G44" i="2"/>
  <c r="I45" i="3" l="1"/>
  <c r="H37" i="3"/>
  <c r="I44" i="3" l="1"/>
  <c r="K22" i="2" l="1"/>
  <c r="K29" i="2" l="1"/>
  <c r="K43" i="2" s="1"/>
  <c r="K44" i="2" s="1"/>
  <c r="J36" i="2"/>
  <c r="K36" i="2" s="1"/>
  <c r="J28" i="5"/>
  <c r="J26" i="5" l="1"/>
  <c r="J33" i="5" l="1"/>
  <c r="J40" i="5" s="1"/>
  <c r="K40" i="5" s="1"/>
  <c r="K47" i="5" l="1"/>
  <c r="K48" i="5" s="1"/>
  <c r="F7" i="6" l="1"/>
  <c r="F15" i="3"/>
  <c r="F18" i="5" l="1"/>
  <c r="F40" i="6"/>
  <c r="F33" i="6"/>
  <c r="F37" i="3"/>
  <c r="F8" i="5" l="1"/>
  <c r="F7" i="5" s="1"/>
  <c r="F40" i="5" s="1"/>
  <c r="G44" i="3"/>
  <c r="G45" i="3"/>
  <c r="F33" i="5" l="1"/>
  <c r="G33" i="5" l="1"/>
  <c r="G40" i="5"/>
  <c r="G47" i="5" s="1"/>
  <c r="G48" i="5" s="1"/>
  <c r="I43" i="2"/>
  <c r="I36" i="2"/>
  <c r="H24" i="2"/>
  <c r="H22" i="2" l="1"/>
  <c r="H29" i="2" l="1"/>
  <c r="H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<sst xmlns="http://schemas.openxmlformats.org/spreadsheetml/2006/main" count="495" uniqueCount="134">
  <si>
    <t>№п/п</t>
  </si>
  <si>
    <t>Найменування показників</t>
  </si>
  <si>
    <t>для потреб населення</t>
  </si>
  <si>
    <t>для потреб бюджетних установ</t>
  </si>
  <si>
    <t>для потреб інших споживачів</t>
  </si>
  <si>
    <t xml:space="preserve">тис.грн. на рік </t>
  </si>
  <si>
    <t>на 1 Гкал</t>
  </si>
  <si>
    <t>Виробнича собівартість, у т.ч.:</t>
  </si>
  <si>
    <t>1.1</t>
  </si>
  <si>
    <t>прямі матеріальні витрати, у т.ч.:</t>
  </si>
  <si>
    <t>1.1.1</t>
  </si>
  <si>
    <t>витрати на паливо для виробництва теплової енергії котельнями</t>
  </si>
  <si>
    <t>1.1.2</t>
  </si>
  <si>
    <t>витрати на електроенергію</t>
  </si>
  <si>
    <t>1.1.3</t>
  </si>
  <si>
    <t>собівартість теплової енергії власних ТЕЦ, ТЕС,АЕС, КГУ, у т.ч.:</t>
  </si>
  <si>
    <t>1.1.3.1</t>
  </si>
  <si>
    <t>витрати на паливо у собівартості теплової енергії власних ТЕЦ, ТЕС,АЕС, КГУ</t>
  </si>
  <si>
    <t>1.1.4</t>
  </si>
  <si>
    <t>витрати на покупну теплову енергію, у т.ч.:</t>
  </si>
  <si>
    <t>1.1.5</t>
  </si>
  <si>
    <t>вода для технологічних потреб та водовідведення</t>
  </si>
  <si>
    <t>1.1.6</t>
  </si>
  <si>
    <t>матеріали, запасні частини та інші матеріальні ресурси</t>
  </si>
  <si>
    <t>1.2</t>
  </si>
  <si>
    <t>прямі витрати на оплату праці з відрахуваннями на соціальні заходи</t>
  </si>
  <si>
    <t>1.3</t>
  </si>
  <si>
    <t>інші прямі витрати, у т.ч.:</t>
  </si>
  <si>
    <t>1.3.1</t>
  </si>
  <si>
    <t>амортизаційні відрахування</t>
  </si>
  <si>
    <t>1.3.2</t>
  </si>
  <si>
    <t>1.4</t>
  </si>
  <si>
    <t>загальновиробничі витрати, у т.ч.:</t>
  </si>
  <si>
    <t>1.4.1</t>
  </si>
  <si>
    <t>витрати на оплату праці з відрахуваннями на соціальні заходи</t>
  </si>
  <si>
    <t>1.4.2</t>
  </si>
  <si>
    <t>інші витрати</t>
  </si>
  <si>
    <t>2</t>
  </si>
  <si>
    <t>Адміністративні витрати, у т.ч.:</t>
  </si>
  <si>
    <t>2.1</t>
  </si>
  <si>
    <t>2.2</t>
  </si>
  <si>
    <t>3</t>
  </si>
  <si>
    <t>Витрати на збут, у т.ч.:</t>
  </si>
  <si>
    <t>3.1</t>
  </si>
  <si>
    <t>3.2</t>
  </si>
  <si>
    <t>4</t>
  </si>
  <si>
    <t>Фінансові витрати</t>
  </si>
  <si>
    <t>5</t>
  </si>
  <si>
    <t>Повна собівартість</t>
  </si>
  <si>
    <t>6</t>
  </si>
  <si>
    <t>Витрати на покриття втрат</t>
  </si>
  <si>
    <t>7</t>
  </si>
  <si>
    <t>Розрахунковий прибуток, у т.ч.:</t>
  </si>
  <si>
    <t>7.1</t>
  </si>
  <si>
    <t>податок на прибуток</t>
  </si>
  <si>
    <t>7.2</t>
  </si>
  <si>
    <t>резервний фонд (капітал) та девіденти</t>
  </si>
  <si>
    <t>7.3</t>
  </si>
  <si>
    <t>на розвиток виробництва (виробничі інвестиції)</t>
  </si>
  <si>
    <t>7.4</t>
  </si>
  <si>
    <t>інше використання прибутку(прибуток у тарифах ТЕЦ, ТЕС, КГУ)</t>
  </si>
  <si>
    <t>8</t>
  </si>
  <si>
    <t>Вартість теплової енергії за відповідним тарифом</t>
  </si>
  <si>
    <t>9</t>
  </si>
  <si>
    <t>Тариф на теплову енергію, гнр./Гкал, у т.ч.:</t>
  </si>
  <si>
    <t>9.1</t>
  </si>
  <si>
    <t>паливна складова</t>
  </si>
  <si>
    <t>9.2</t>
  </si>
  <si>
    <t>решта витрат, крім паливної складової</t>
  </si>
  <si>
    <t>10</t>
  </si>
  <si>
    <t>Паливна складова, %</t>
  </si>
  <si>
    <t>11</t>
  </si>
  <si>
    <t>решта витрат, крім паливної складової, %</t>
  </si>
  <si>
    <t>12</t>
  </si>
  <si>
    <t>Обсяг реалізації теплової енергії власним споживачам, Гкал.</t>
  </si>
  <si>
    <t>13</t>
  </si>
  <si>
    <t>Тариф на теплову енергію, грн./Гкал, у т.ч.:</t>
  </si>
  <si>
    <t>14</t>
  </si>
  <si>
    <t>Тариф на теплову енергію, грн./Гкал, з ПДВ</t>
  </si>
  <si>
    <t>(157,19)           транспортування (/5092,16*124,16)</t>
  </si>
  <si>
    <t>(6235,51)                   природний газ(/5092,16*4048)</t>
  </si>
  <si>
    <t>(595,20)                                розподіл(/5092,16*920)</t>
  </si>
  <si>
    <t>плановий тариф</t>
  </si>
  <si>
    <t>Тариф на теплову енергію, грн./Гкал, без ПДВ</t>
  </si>
  <si>
    <t>1.1.2.</t>
  </si>
  <si>
    <t>1.1.3.</t>
  </si>
  <si>
    <t>1.1.4.</t>
  </si>
  <si>
    <t>1.2.</t>
  </si>
  <si>
    <t>1.3.</t>
  </si>
  <si>
    <t>1.4.</t>
  </si>
  <si>
    <t>1.3.1.</t>
  </si>
  <si>
    <t>1.3.2.</t>
  </si>
  <si>
    <t>1.4.1.</t>
  </si>
  <si>
    <t>1.4.2.</t>
  </si>
  <si>
    <t>2.1.</t>
  </si>
  <si>
    <t>2.</t>
  </si>
  <si>
    <t>2.2.</t>
  </si>
  <si>
    <t>3.</t>
  </si>
  <si>
    <t>3.1.</t>
  </si>
  <si>
    <t>3.2.</t>
  </si>
  <si>
    <t>4.</t>
  </si>
  <si>
    <t>5.</t>
  </si>
  <si>
    <t>6.</t>
  </si>
  <si>
    <t>7.</t>
  </si>
  <si>
    <t>7.1.</t>
  </si>
  <si>
    <t>7.2.</t>
  </si>
  <si>
    <t>7.3.</t>
  </si>
  <si>
    <t>7.4.</t>
  </si>
  <si>
    <t>8.</t>
  </si>
  <si>
    <t>9.</t>
  </si>
  <si>
    <t>10.</t>
  </si>
  <si>
    <t>11.</t>
  </si>
  <si>
    <t>Керуючий справами                                                                                              Валентина ЯНЗЮК</t>
  </si>
  <si>
    <t>Додаток                                                                                                 до рішення виконавчого комітету                         міської ради</t>
  </si>
  <si>
    <t>Для потреб населення</t>
  </si>
  <si>
    <t>Для потреб бюджетних установ</t>
  </si>
  <si>
    <t>Для потреб інших споживачів</t>
  </si>
  <si>
    <t>Структура тарифу послугу з постачання теплової енергії комунального підприємства по експлуатації теплового господарства "Тепловик" Старокостянтинівської міської ради</t>
  </si>
  <si>
    <t>1.1.1.1</t>
  </si>
  <si>
    <t>1.1.1.2</t>
  </si>
  <si>
    <t>витрати на оплату послуги з транспортування природного газу</t>
  </si>
  <si>
    <t>витрати на оплату послуги з розподілу природного газу</t>
  </si>
  <si>
    <t>витрати на придбання  природного газу</t>
  </si>
  <si>
    <t>1.1.1.3.</t>
  </si>
  <si>
    <t>Розрахунок коригування тарифу на виробництво теплової енергії комунальним підприємством по експлуатації теплового господарства "Тепловик" Старокостянтинівської міської ради</t>
  </si>
  <si>
    <t>Директор</t>
  </si>
  <si>
    <t>Душенко О.С.</t>
  </si>
  <si>
    <t>Головний бухгалтер</t>
  </si>
  <si>
    <t>Божук А.А.</t>
  </si>
  <si>
    <t xml:space="preserve">Економіст                           </t>
  </si>
  <si>
    <t>Михальчишина Л.В.</t>
  </si>
  <si>
    <t>Розрахунок коригування тарифу на транспортування теплової енергії комунального підприємства по експлуатації теплового господарства "Тепловик" Старокостянтинівської міської ради</t>
  </si>
  <si>
    <t>Розрахунок коригування тарифу на постачання теплової енергії комунальним підприємством по експлуатації теплового господарства "Тепловик" Старокостянтинівської міської ради</t>
  </si>
  <si>
    <t xml:space="preserve">Розрахунок коригування тарифу на теплову енергію комунального підприємства по експлуатації теплового господарства "Тепловик" Старокостянтинівської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</si>
</sst>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₴_-;\-* #,##0.00_₴_-;_-* &quot;-&quot;??_₴_-;_-@_-"/>
    <numFmt numFmtId="165" formatCode="_-* #,##0_₴_-;\-* #,##0_₴_-;_-* &quot;-&quot;??_₴_-;_-@_-"/>
    <numFmt numFmtId="166" formatCode="_-* #,##0.0000_₴_-;\-* #,##0.0000_₴_-;_-* &quot;-&quot;??_₴_-;_-@_-"/>
    <numFmt numFmtId="167" formatCode="_-* #,##0.0_₴_-;\-* #,##0.0_₴_-;_-* &quot;-&quot;??_₴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E"/>
      <family val="2"/>
      <charset val="238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0"/>
    <xf numFmtId="0" fontId="6" fillId="0" borderId="0">
      <alignment horizontal="centerContinuous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0" fontId="8" fillId="0" borderId="11" xfId="2" applyFont="1" applyBorder="1" applyAlignment="1">
      <alignment horizontal="center" vertical="center" wrapText="1"/>
    </xf>
    <xf numFmtId="164" fontId="8" fillId="0" borderId="11" xfId="1" applyFont="1" applyBorder="1"/>
    <xf numFmtId="0" fontId="2" fillId="0" borderId="0" xfId="2"/>
    <xf numFmtId="0" fontId="7" fillId="0" borderId="0" xfId="55" applyFont="1" applyBorder="1"/>
    <xf numFmtId="0" fontId="8" fillId="0" borderId="11" xfId="2" applyFont="1" applyBorder="1"/>
    <xf numFmtId="0" fontId="8" fillId="0" borderId="11" xfId="55" applyNumberFormat="1" applyFont="1" applyBorder="1" applyAlignment="1">
      <alignment horizontal="center" vertical="center"/>
    </xf>
    <xf numFmtId="165" fontId="8" fillId="0" borderId="11" xfId="80" applyNumberFormat="1" applyFont="1" applyBorder="1" applyAlignment="1"/>
    <xf numFmtId="164" fontId="8" fillId="0" borderId="11" xfId="80" applyFont="1" applyBorder="1"/>
    <xf numFmtId="164" fontId="0" fillId="0" borderId="0" xfId="0" applyNumberFormat="1"/>
    <xf numFmtId="0" fontId="30" fillId="0" borderId="11" xfId="0" applyFont="1" applyBorder="1"/>
    <xf numFmtId="164" fontId="30" fillId="0" borderId="11" xfId="1" applyFont="1" applyBorder="1"/>
    <xf numFmtId="164" fontId="7" fillId="0" borderId="11" xfId="80" applyFont="1" applyBorder="1"/>
    <xf numFmtId="164" fontId="30" fillId="0" borderId="11" xfId="0" applyNumberFormat="1" applyFont="1" applyBorder="1"/>
    <xf numFmtId="0" fontId="30" fillId="0" borderId="11" xfId="0" applyFont="1" applyBorder="1" applyAlignment="1">
      <alignment horizontal="center" vertical="center" wrapText="1"/>
    </xf>
    <xf numFmtId="166" fontId="0" fillId="0" borderId="0" xfId="0" applyNumberFormat="1"/>
    <xf numFmtId="0" fontId="30" fillId="0" borderId="11" xfId="0" applyFont="1" applyBorder="1" applyAlignment="1">
      <alignment horizontal="left" vertical="top"/>
    </xf>
    <xf numFmtId="164" fontId="8" fillId="0" borderId="11" xfId="80" applyFont="1" applyFill="1" applyBorder="1"/>
    <xf numFmtId="164" fontId="30" fillId="0" borderId="11" xfId="0" applyNumberFormat="1" applyFont="1" applyFill="1" applyBorder="1"/>
    <xf numFmtId="0" fontId="0" fillId="0" borderId="0" xfId="0" applyFill="1"/>
    <xf numFmtId="164" fontId="8" fillId="0" borderId="11" xfId="80" applyFont="1" applyFill="1" applyBorder="1" applyAlignment="1">
      <alignment wrapText="1"/>
    </xf>
    <xf numFmtId="164" fontId="0" fillId="0" borderId="0" xfId="0" applyNumberFormat="1" applyFill="1"/>
    <xf numFmtId="164" fontId="30" fillId="0" borderId="11" xfId="1" applyFont="1" applyFill="1" applyBorder="1"/>
    <xf numFmtId="164" fontId="8" fillId="0" borderId="11" xfId="1" applyFont="1" applyFill="1" applyBorder="1"/>
    <xf numFmtId="167" fontId="8" fillId="0" borderId="11" xfId="1" applyNumberFormat="1" applyFont="1" applyFill="1" applyBorder="1"/>
    <xf numFmtId="164" fontId="8" fillId="0" borderId="11" xfId="1" applyNumberFormat="1" applyFont="1" applyFill="1" applyBorder="1"/>
    <xf numFmtId="0" fontId="8" fillId="0" borderId="11" xfId="2" applyFont="1" applyFill="1" applyBorder="1"/>
    <xf numFmtId="0" fontId="30" fillId="0" borderId="11" xfId="0" applyFont="1" applyFill="1" applyBorder="1" applyAlignment="1">
      <alignment horizontal="left" vertical="top"/>
    </xf>
    <xf numFmtId="0" fontId="0" fillId="0" borderId="0" xfId="0"/>
    <xf numFmtId="164" fontId="7" fillId="0" borderId="11" xfId="80" applyFont="1" applyBorder="1"/>
    <xf numFmtId="164" fontId="30" fillId="0" borderId="11" xfId="1" applyFont="1" applyBorder="1"/>
    <xf numFmtId="164" fontId="7" fillId="0" borderId="11" xfId="80" applyFont="1" applyBorder="1"/>
    <xf numFmtId="0" fontId="30" fillId="0" borderId="11" xfId="0" applyFont="1" applyBorder="1" applyAlignment="1">
      <alignment vertical="center"/>
    </xf>
    <xf numFmtId="164" fontId="30" fillId="0" borderId="11" xfId="1" applyFont="1" applyFill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164" fontId="32" fillId="0" borderId="11" xfId="1" applyFont="1" applyFill="1" applyBorder="1" applyAlignment="1">
      <alignment vertical="center"/>
    </xf>
    <xf numFmtId="164" fontId="7" fillId="24" borderId="11" xfId="80" applyFont="1" applyFill="1" applyBorder="1" applyAlignment="1">
      <alignment vertical="center"/>
    </xf>
    <xf numFmtId="164" fontId="30" fillId="24" borderId="11" xfId="1" applyFont="1" applyFill="1" applyBorder="1" applyAlignment="1">
      <alignment vertical="center"/>
    </xf>
    <xf numFmtId="164" fontId="30" fillId="0" borderId="11" xfId="1" applyFont="1" applyFill="1" applyBorder="1" applyAlignment="1">
      <alignment horizontal="left"/>
    </xf>
    <xf numFmtId="164" fontId="7" fillId="26" borderId="11" xfId="80" applyFont="1" applyFill="1" applyBorder="1"/>
    <xf numFmtId="164" fontId="30" fillId="26" borderId="11" xfId="1" applyFont="1" applyFill="1" applyBorder="1"/>
    <xf numFmtId="164" fontId="33" fillId="0" borderId="11" xfId="80" applyFont="1" applyBorder="1"/>
    <xf numFmtId="164" fontId="32" fillId="0" borderId="11" xfId="1" applyFont="1" applyFill="1" applyBorder="1"/>
    <xf numFmtId="164" fontId="7" fillId="27" borderId="11" xfId="80" applyFont="1" applyFill="1" applyBorder="1"/>
    <xf numFmtId="0" fontId="30" fillId="27" borderId="11" xfId="0" applyFont="1" applyFill="1" applyBorder="1" applyAlignment="1">
      <alignment horizontal="left" vertical="top"/>
    </xf>
    <xf numFmtId="164" fontId="30" fillId="27" borderId="11" xfId="1" applyFont="1" applyFill="1" applyBorder="1"/>
    <xf numFmtId="165" fontId="7" fillId="0" borderId="11" xfId="80" applyNumberFormat="1" applyFont="1" applyBorder="1" applyAlignment="1">
      <alignment horizontal="center"/>
    </xf>
    <xf numFmtId="165" fontId="7" fillId="0" borderId="11" xfId="80" applyNumberFormat="1" applyFont="1" applyFill="1" applyBorder="1" applyAlignment="1">
      <alignment horizontal="center"/>
    </xf>
    <xf numFmtId="0" fontId="2" fillId="0" borderId="0" xfId="2"/>
    <xf numFmtId="0" fontId="30" fillId="0" borderId="0" xfId="0" applyFont="1"/>
    <xf numFmtId="164" fontId="8" fillId="0" borderId="11" xfId="80" applyFont="1" applyBorder="1" applyAlignment="1">
      <alignment horizontal="center" vertical="center"/>
    </xf>
    <xf numFmtId="164" fontId="8" fillId="26" borderId="12" xfId="80" applyFont="1" applyFill="1" applyBorder="1" applyAlignment="1">
      <alignment horizontal="left" vertical="top" wrapText="1"/>
    </xf>
    <xf numFmtId="164" fontId="8" fillId="26" borderId="16" xfId="80" applyFont="1" applyFill="1" applyBorder="1" applyAlignment="1">
      <alignment horizontal="left" vertical="top" wrapText="1"/>
    </xf>
    <xf numFmtId="164" fontId="8" fillId="26" borderId="13" xfId="80" applyFont="1" applyFill="1" applyBorder="1" applyAlignment="1">
      <alignment horizontal="left" vertical="top" wrapText="1"/>
    </xf>
    <xf numFmtId="164" fontId="8" fillId="0" borderId="12" xfId="80" applyFont="1" applyBorder="1" applyAlignment="1">
      <alignment wrapText="1"/>
    </xf>
    <xf numFmtId="164" fontId="8" fillId="0" borderId="16" xfId="80" applyFont="1" applyBorder="1" applyAlignment="1">
      <alignment wrapText="1"/>
    </xf>
    <xf numFmtId="164" fontId="8" fillId="0" borderId="13" xfId="80" applyFont="1" applyBorder="1" applyAlignment="1">
      <alignment wrapText="1"/>
    </xf>
    <xf numFmtId="164" fontId="8" fillId="0" borderId="11" xfId="8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2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164" fontId="26" fillId="0" borderId="12" xfId="80" applyFont="1" applyBorder="1" applyAlignment="1">
      <alignment horizontal="center" wrapText="1"/>
    </xf>
    <xf numFmtId="164" fontId="26" fillId="0" borderId="16" xfId="80" applyFont="1" applyBorder="1" applyAlignment="1">
      <alignment horizontal="center" wrapText="1"/>
    </xf>
    <xf numFmtId="164" fontId="26" fillId="0" borderId="13" xfId="80" applyFont="1" applyBorder="1" applyAlignment="1">
      <alignment horizontal="center" wrapText="1"/>
    </xf>
    <xf numFmtId="164" fontId="8" fillId="26" borderId="12" xfId="80" applyFont="1" applyFill="1" applyBorder="1" applyAlignment="1">
      <alignment wrapText="1"/>
    </xf>
    <xf numFmtId="164" fontId="8" fillId="26" borderId="16" xfId="80" applyFont="1" applyFill="1" applyBorder="1" applyAlignment="1">
      <alignment wrapText="1"/>
    </xf>
    <xf numFmtId="164" fontId="8" fillId="26" borderId="13" xfId="80" applyFont="1" applyFill="1" applyBorder="1" applyAlignment="1">
      <alignment wrapText="1"/>
    </xf>
    <xf numFmtId="164" fontId="8" fillId="0" borderId="11" xfId="80" applyFont="1" applyBorder="1" applyAlignment="1">
      <alignment horizontal="center" vertical="center" wrapText="1"/>
    </xf>
    <xf numFmtId="165" fontId="7" fillId="0" borderId="12" xfId="80" applyNumberFormat="1" applyFont="1" applyBorder="1" applyAlignment="1">
      <alignment vertical="center"/>
    </xf>
    <xf numFmtId="165" fontId="7" fillId="0" borderId="16" xfId="80" applyNumberFormat="1" applyFont="1" applyBorder="1" applyAlignment="1">
      <alignment vertical="center"/>
    </xf>
    <xf numFmtId="165" fontId="7" fillId="0" borderId="13" xfId="80" applyNumberFormat="1" applyFont="1" applyBorder="1" applyAlignment="1">
      <alignment vertical="center"/>
    </xf>
    <xf numFmtId="0" fontId="8" fillId="0" borderId="11" xfId="2" applyFont="1" applyBorder="1"/>
    <xf numFmtId="0" fontId="8" fillId="0" borderId="11" xfId="2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0" fontId="8" fillId="0" borderId="11" xfId="2" applyFont="1" applyBorder="1" applyAlignment="1">
      <alignment horizontal="center"/>
    </xf>
    <xf numFmtId="0" fontId="2" fillId="0" borderId="0" xfId="2"/>
    <xf numFmtId="0" fontId="27" fillId="25" borderId="12" xfId="2" applyFont="1" applyFill="1" applyBorder="1" applyAlignment="1">
      <alignment horizontal="center" vertical="center" wrapText="1"/>
    </xf>
    <xf numFmtId="0" fontId="27" fillId="25" borderId="16" xfId="2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top"/>
    </xf>
    <xf numFmtId="0" fontId="30" fillId="0" borderId="16" xfId="0" applyFont="1" applyFill="1" applyBorder="1" applyAlignment="1">
      <alignment horizontal="left" vertical="top"/>
    </xf>
    <xf numFmtId="0" fontId="30" fillId="0" borderId="13" xfId="0" applyFont="1" applyFill="1" applyBorder="1" applyAlignment="1">
      <alignment horizontal="left" vertical="top"/>
    </xf>
    <xf numFmtId="0" fontId="30" fillId="0" borderId="1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2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164" fontId="8" fillId="24" borderId="12" xfId="80" applyFont="1" applyFill="1" applyBorder="1" applyAlignment="1">
      <alignment vertical="center" wrapText="1"/>
    </xf>
    <xf numFmtId="164" fontId="8" fillId="24" borderId="16" xfId="80" applyFont="1" applyFill="1" applyBorder="1" applyAlignment="1">
      <alignment vertical="center" wrapText="1"/>
    </xf>
    <xf numFmtId="164" fontId="8" fillId="24" borderId="13" xfId="80" applyFont="1" applyFill="1" applyBorder="1" applyAlignment="1">
      <alignment vertical="center" wrapText="1"/>
    </xf>
    <xf numFmtId="164" fontId="8" fillId="0" borderId="12" xfId="80" applyFont="1" applyBorder="1" applyAlignment="1">
      <alignment horizontal="left" vertical="top" wrapText="1"/>
    </xf>
    <xf numFmtId="164" fontId="8" fillId="0" borderId="16" xfId="80" applyFont="1" applyBorder="1" applyAlignment="1">
      <alignment horizontal="left" vertical="top" wrapText="1"/>
    </xf>
    <xf numFmtId="164" fontId="8" fillId="0" borderId="13" xfId="80" applyFont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top" wrapText="1"/>
    </xf>
    <xf numFmtId="0" fontId="32" fillId="0" borderId="16" xfId="0" applyFont="1" applyFill="1" applyBorder="1" applyAlignment="1">
      <alignment horizontal="left" vertical="top" wrapText="1"/>
    </xf>
    <xf numFmtId="0" fontId="32" fillId="0" borderId="13" xfId="0" applyFont="1" applyFill="1" applyBorder="1" applyAlignment="1">
      <alignment horizontal="left" vertical="top" wrapText="1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 wrapText="1"/>
    </xf>
    <xf numFmtId="0" fontId="27" fillId="0" borderId="16" xfId="2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top"/>
    </xf>
    <xf numFmtId="0" fontId="30" fillId="0" borderId="16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12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31" fillId="0" borderId="0" xfId="0" applyFont="1" applyAlignment="1">
      <alignment horizontal="center"/>
    </xf>
  </cellXfs>
  <cellStyles count="82">
    <cellStyle name="20% - Акцент1 2" xfId="3" xr:uid="{00000000-0005-0000-0000-000000000000}"/>
    <cellStyle name="20% - Акцент1 2 2" xfId="4" xr:uid="{00000000-0005-0000-0000-000001000000}"/>
    <cellStyle name="20% - Акцент2 2" xfId="5" xr:uid="{00000000-0005-0000-0000-000002000000}"/>
    <cellStyle name="20% - Акцент2 2 2" xfId="6" xr:uid="{00000000-0005-0000-0000-000003000000}"/>
    <cellStyle name="20% - Акцент3 2" xfId="7" xr:uid="{00000000-0005-0000-0000-000004000000}"/>
    <cellStyle name="20% - Акцент3 2 2" xfId="8" xr:uid="{00000000-0005-0000-0000-000005000000}"/>
    <cellStyle name="20% - Акцент4 2" xfId="9" xr:uid="{00000000-0005-0000-0000-000006000000}"/>
    <cellStyle name="20% - Акцент4 2 2" xfId="10" xr:uid="{00000000-0005-0000-0000-000007000000}"/>
    <cellStyle name="20% - Акцент5 2" xfId="11" xr:uid="{00000000-0005-0000-0000-000008000000}"/>
    <cellStyle name="20% - Акцент5 2 2" xfId="12" xr:uid="{00000000-0005-0000-0000-000009000000}"/>
    <cellStyle name="20% - Акцент6 2" xfId="13" xr:uid="{00000000-0005-0000-0000-00000A000000}"/>
    <cellStyle name="20% - Акцент6 2 2" xfId="14" xr:uid="{00000000-0005-0000-0000-00000B000000}"/>
    <cellStyle name="40% - Акцент1 2" xfId="15" xr:uid="{00000000-0005-0000-0000-00000C000000}"/>
    <cellStyle name="40% - Акцент1 2 2" xfId="16" xr:uid="{00000000-0005-0000-0000-00000D000000}"/>
    <cellStyle name="40% - Акцент2 2" xfId="17" xr:uid="{00000000-0005-0000-0000-00000E000000}"/>
    <cellStyle name="40% - Акцент2 2 2" xfId="18" xr:uid="{00000000-0005-0000-0000-00000F000000}"/>
    <cellStyle name="40% - Акцент3 2" xfId="19" xr:uid="{00000000-0005-0000-0000-000010000000}"/>
    <cellStyle name="40% - Акцент3 2 2" xfId="20" xr:uid="{00000000-0005-0000-0000-000011000000}"/>
    <cellStyle name="40% - Акцент4 2" xfId="21" xr:uid="{00000000-0005-0000-0000-000012000000}"/>
    <cellStyle name="40% - Акцент4 2 2" xfId="22" xr:uid="{00000000-0005-0000-0000-000013000000}"/>
    <cellStyle name="40% - Акцент5 2" xfId="23" xr:uid="{00000000-0005-0000-0000-000014000000}"/>
    <cellStyle name="40% - Акцент5 2 2" xfId="24" xr:uid="{00000000-0005-0000-0000-000015000000}"/>
    <cellStyle name="40% - Акцент6 2" xfId="25" xr:uid="{00000000-0005-0000-0000-000016000000}"/>
    <cellStyle name="40% - Акцент6 2 2" xfId="26" xr:uid="{00000000-0005-0000-0000-000017000000}"/>
    <cellStyle name="60% - Акцент1 2" xfId="27" xr:uid="{00000000-0005-0000-0000-000018000000}"/>
    <cellStyle name="60% - Акцент2 2" xfId="28" xr:uid="{00000000-0005-0000-0000-000019000000}"/>
    <cellStyle name="60% - Акцент3 2" xfId="29" xr:uid="{00000000-0005-0000-0000-00001A000000}"/>
    <cellStyle name="60% - Акцент4 2" xfId="30" xr:uid="{00000000-0005-0000-0000-00001B000000}"/>
    <cellStyle name="60% - Акцент5 2" xfId="31" xr:uid="{00000000-0005-0000-0000-00001C000000}"/>
    <cellStyle name="60% - Акцент6 2" xfId="32" xr:uid="{00000000-0005-0000-0000-00001D000000}"/>
    <cellStyle name="Normal_Tarif_Xmelnizki" xfId="33" xr:uid="{00000000-0005-0000-0000-00001E000000}"/>
    <cellStyle name="Tytuі" xfId="34" xr:uid="{00000000-0005-0000-0000-00001F000000}"/>
    <cellStyle name="Акцент1 2" xfId="35" xr:uid="{00000000-0005-0000-0000-000020000000}"/>
    <cellStyle name="Акцент2 2" xfId="36" xr:uid="{00000000-0005-0000-0000-000021000000}"/>
    <cellStyle name="Акцент3 2" xfId="37" xr:uid="{00000000-0005-0000-0000-000022000000}"/>
    <cellStyle name="Акцент4 2" xfId="38" xr:uid="{00000000-0005-0000-0000-000023000000}"/>
    <cellStyle name="Акцент5 2" xfId="39" xr:uid="{00000000-0005-0000-0000-000024000000}"/>
    <cellStyle name="Акцент6 2" xfId="40" xr:uid="{00000000-0005-0000-0000-000025000000}"/>
    <cellStyle name="Ввод  2" xfId="41" xr:uid="{00000000-0005-0000-0000-000026000000}"/>
    <cellStyle name="Вывод 2" xfId="42" xr:uid="{00000000-0005-0000-0000-000027000000}"/>
    <cellStyle name="Вычисление 2" xfId="43" xr:uid="{00000000-0005-0000-0000-000028000000}"/>
    <cellStyle name="Заголовок 1 2" xfId="44" xr:uid="{00000000-0005-0000-0000-000029000000}"/>
    <cellStyle name="Заголовок 2 2" xfId="45" xr:uid="{00000000-0005-0000-0000-00002A000000}"/>
    <cellStyle name="Заголовок 3 2" xfId="46" xr:uid="{00000000-0005-0000-0000-00002B000000}"/>
    <cellStyle name="Заголовок 4 2" xfId="47" xr:uid="{00000000-0005-0000-0000-00002C000000}"/>
    <cellStyle name="Итог 2" xfId="48" xr:uid="{00000000-0005-0000-0000-00002D000000}"/>
    <cellStyle name="Итог 2 2" xfId="49" xr:uid="{00000000-0005-0000-0000-00002E000000}"/>
    <cellStyle name="Контрольная ячейка 2" xfId="50" xr:uid="{00000000-0005-0000-0000-00002F000000}"/>
    <cellStyle name="Название 2" xfId="51" xr:uid="{00000000-0005-0000-0000-000030000000}"/>
    <cellStyle name="Нейтральный 2" xfId="52" xr:uid="{00000000-0005-0000-0000-000031000000}"/>
    <cellStyle name="Обычный" xfId="0" builtinId="0"/>
    <cellStyle name="Обычный 10" xfId="53" xr:uid="{00000000-0005-0000-0000-000033000000}"/>
    <cellStyle name="Обычный 11" xfId="54" xr:uid="{00000000-0005-0000-0000-000034000000}"/>
    <cellStyle name="Обычный 12" xfId="2" xr:uid="{00000000-0005-0000-0000-000035000000}"/>
    <cellStyle name="Обычный 2" xfId="55" xr:uid="{00000000-0005-0000-0000-000036000000}"/>
    <cellStyle name="Обычный 2 2" xfId="56" xr:uid="{00000000-0005-0000-0000-000037000000}"/>
    <cellStyle name="Обычный 3" xfId="57" xr:uid="{00000000-0005-0000-0000-000038000000}"/>
    <cellStyle name="Обычный 3 2" xfId="58" xr:uid="{00000000-0005-0000-0000-000039000000}"/>
    <cellStyle name="Обычный 3_Старокостянт_Тариф 19_10_2011" xfId="59" xr:uid="{00000000-0005-0000-0000-00003A000000}"/>
    <cellStyle name="Обычный 4" xfId="60" xr:uid="{00000000-0005-0000-0000-00003B000000}"/>
    <cellStyle name="Обычный 5" xfId="61" xr:uid="{00000000-0005-0000-0000-00003C000000}"/>
    <cellStyle name="Обычный 5 2" xfId="62" xr:uid="{00000000-0005-0000-0000-00003D000000}"/>
    <cellStyle name="Обычный 5 2 2" xfId="63" xr:uid="{00000000-0005-0000-0000-00003E000000}"/>
    <cellStyle name="Обычный 5_Старокостянт_Тариф 19_10_2011" xfId="64" xr:uid="{00000000-0005-0000-0000-00003F000000}"/>
    <cellStyle name="Обычный 6" xfId="65" xr:uid="{00000000-0005-0000-0000-000040000000}"/>
    <cellStyle name="Обычный 7" xfId="66" xr:uid="{00000000-0005-0000-0000-000041000000}"/>
    <cellStyle name="Обычный 8" xfId="67" xr:uid="{00000000-0005-0000-0000-000042000000}"/>
    <cellStyle name="Обычный 9" xfId="68" xr:uid="{00000000-0005-0000-0000-000043000000}"/>
    <cellStyle name="Плохой 2" xfId="69" xr:uid="{00000000-0005-0000-0000-000044000000}"/>
    <cellStyle name="Пояснение 2" xfId="70" xr:uid="{00000000-0005-0000-0000-000045000000}"/>
    <cellStyle name="Примечание 2" xfId="71" xr:uid="{00000000-0005-0000-0000-000046000000}"/>
    <cellStyle name="Процентный 2" xfId="73" xr:uid="{00000000-0005-0000-0000-000047000000}"/>
    <cellStyle name="Процентный 2 2" xfId="74" xr:uid="{00000000-0005-0000-0000-000048000000}"/>
    <cellStyle name="Процентный 3" xfId="75" xr:uid="{00000000-0005-0000-0000-000049000000}"/>
    <cellStyle name="Процентный 4" xfId="76" xr:uid="{00000000-0005-0000-0000-00004A000000}"/>
    <cellStyle name="Процентный 5" xfId="72" xr:uid="{00000000-0005-0000-0000-00004B000000}"/>
    <cellStyle name="Связанная ячейка 2" xfId="77" xr:uid="{00000000-0005-0000-0000-00004C000000}"/>
    <cellStyle name="Текст предупреждения 2" xfId="78" xr:uid="{00000000-0005-0000-0000-00004D000000}"/>
    <cellStyle name="Финансовый" xfId="1" builtinId="3"/>
    <cellStyle name="Финансовый 2" xfId="80" xr:uid="{00000000-0005-0000-0000-00004F000000}"/>
    <cellStyle name="Финансовый 3" xfId="79" xr:uid="{00000000-0005-0000-0000-000050000000}"/>
    <cellStyle name="Хороший 2" xfId="81" xr:uid="{00000000-0005-0000-0000-000051000000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4"/>
  <sheetViews>
    <sheetView topLeftCell="A40" zoomScale="78" zoomScaleNormal="78" workbookViewId="0">
      <selection activeCell="M5" sqref="M5:N48"/>
    </sheetView>
  </sheetViews>
  <sheetFormatPr defaultRowHeight="15" x14ac:dyDescent="0.25"/>
  <cols>
    <col min="1" max="1" width="8.5703125" customWidth="1"/>
    <col min="5" max="5" width="35.7109375" customWidth="1"/>
    <col min="6" max="6" width="22.42578125" customWidth="1"/>
    <col min="7" max="7" width="14.5703125" customWidth="1"/>
    <col min="8" max="8" width="23.5703125" customWidth="1"/>
    <col min="9" max="9" width="14.5703125" customWidth="1"/>
    <col min="10" max="10" width="18.5703125" customWidth="1"/>
    <col min="11" max="11" width="14.28515625" customWidth="1"/>
    <col min="12" max="12" width="11.42578125" hidden="1" customWidth="1"/>
    <col min="13" max="13" width="15.7109375" customWidth="1"/>
    <col min="14" max="14" width="10.7109375" bestFit="1" customWidth="1"/>
  </cols>
  <sheetData>
    <row r="1" spans="1:14" ht="63.75" customHeight="1" x14ac:dyDescent="0.25">
      <c r="I1" s="60"/>
      <c r="J1" s="60"/>
      <c r="K1" s="60"/>
    </row>
    <row r="2" spans="1:14" ht="82.5" customHeight="1" x14ac:dyDescent="0.25">
      <c r="A2" s="63" t="s">
        <v>124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4" ht="41.25" customHeight="1" x14ac:dyDescent="0.25">
      <c r="A3" s="59" t="s">
        <v>0</v>
      </c>
      <c r="B3" s="59" t="s">
        <v>1</v>
      </c>
      <c r="C3" s="59"/>
      <c r="D3" s="59"/>
      <c r="E3" s="59"/>
      <c r="F3" s="72" t="s">
        <v>2</v>
      </c>
      <c r="G3" s="72"/>
      <c r="H3" s="72" t="s">
        <v>3</v>
      </c>
      <c r="I3" s="72"/>
      <c r="J3" s="72" t="s">
        <v>4</v>
      </c>
      <c r="K3" s="72"/>
    </row>
    <row r="4" spans="1:14" ht="18.75" x14ac:dyDescent="0.25">
      <c r="A4" s="59"/>
      <c r="B4" s="59"/>
      <c r="C4" s="59"/>
      <c r="D4" s="59"/>
      <c r="E4" s="59"/>
      <c r="F4" s="52" t="s">
        <v>5</v>
      </c>
      <c r="G4" s="52" t="s">
        <v>6</v>
      </c>
      <c r="H4" s="52" t="s">
        <v>5</v>
      </c>
      <c r="I4" s="52" t="s">
        <v>6</v>
      </c>
      <c r="J4" s="52" t="s">
        <v>5</v>
      </c>
      <c r="K4" s="52" t="s">
        <v>6</v>
      </c>
    </row>
    <row r="5" spans="1:14" ht="20.25" customHeight="1" x14ac:dyDescent="0.25">
      <c r="A5" s="48">
        <v>1</v>
      </c>
      <c r="B5" s="73">
        <v>2</v>
      </c>
      <c r="C5" s="74"/>
      <c r="D5" s="74"/>
      <c r="E5" s="75"/>
      <c r="F5" s="48">
        <v>3</v>
      </c>
      <c r="G5" s="49">
        <v>4</v>
      </c>
      <c r="H5" s="48">
        <v>5</v>
      </c>
      <c r="I5" s="49">
        <v>6</v>
      </c>
      <c r="J5" s="48">
        <v>7</v>
      </c>
      <c r="K5" s="48">
        <v>8</v>
      </c>
    </row>
    <row r="6" spans="1:14" ht="18.75" customHeight="1" x14ac:dyDescent="0.3">
      <c r="A6" s="8">
        <v>1</v>
      </c>
      <c r="B6" s="56" t="s">
        <v>7</v>
      </c>
      <c r="C6" s="57"/>
      <c r="D6" s="57"/>
      <c r="E6" s="58"/>
      <c r="F6" s="18">
        <f>F7+F18+F19+F22</f>
        <v>66648.300000000017</v>
      </c>
      <c r="G6" s="18">
        <f t="shared" ref="G6:K6" si="0">G7+G18+G19+G22</f>
        <v>1797.3416130222386</v>
      </c>
      <c r="H6" s="18">
        <f t="shared" si="0"/>
        <v>16401.209260617357</v>
      </c>
      <c r="I6" s="18">
        <f t="shared" si="0"/>
        <v>1797.3388597873193</v>
      </c>
      <c r="J6" s="18">
        <f t="shared" si="0"/>
        <v>1010.61125373333</v>
      </c>
      <c r="K6" s="18">
        <f t="shared" si="0"/>
        <v>1797.3424469597771</v>
      </c>
      <c r="L6" s="20"/>
      <c r="M6" s="22"/>
    </row>
    <row r="7" spans="1:14" ht="18.75" customHeight="1" x14ac:dyDescent="0.3">
      <c r="A7" s="32" t="s">
        <v>8</v>
      </c>
      <c r="B7" s="56" t="s">
        <v>9</v>
      </c>
      <c r="C7" s="57"/>
      <c r="D7" s="57"/>
      <c r="E7" s="58"/>
      <c r="F7" s="21">
        <f>F8+F12+F16+F17</f>
        <v>55914.670000000006</v>
      </c>
      <c r="G7" s="21">
        <f>G8+G12+G16+G17</f>
        <v>1507.8831420661895</v>
      </c>
      <c r="H7" s="21">
        <f t="shared" ref="H7:J7" si="1">H8+H12+H16+H17</f>
        <v>13759.830648617359</v>
      </c>
      <c r="I7" s="21">
        <f>I8+I12+I16+I17+0.01</f>
        <v>1507.8825778312212</v>
      </c>
      <c r="J7" s="21">
        <f t="shared" si="1"/>
        <v>847.85125373333005</v>
      </c>
      <c r="K7" s="21">
        <f>K8+K12+K16+K17</f>
        <v>1507.8831720172891</v>
      </c>
      <c r="L7" s="20"/>
      <c r="M7" s="22"/>
    </row>
    <row r="8" spans="1:14" ht="39.75" customHeight="1" x14ac:dyDescent="0.3">
      <c r="A8" s="41" t="s">
        <v>10</v>
      </c>
      <c r="B8" s="69" t="s">
        <v>11</v>
      </c>
      <c r="C8" s="70"/>
      <c r="D8" s="70"/>
      <c r="E8" s="71"/>
      <c r="F8" s="42">
        <v>54388.19</v>
      </c>
      <c r="G8" s="42">
        <f>F8/F45*1000</f>
        <v>1466.7146136092801</v>
      </c>
      <c r="H8" s="42">
        <v>13384.18</v>
      </c>
      <c r="I8" s="42">
        <f>H8/H45*1000</f>
        <v>1466.7068595633482</v>
      </c>
      <c r="J8" s="42">
        <v>824.7</v>
      </c>
      <c r="K8" s="42">
        <f>J8/J45*1000</f>
        <v>1466.7140867842195</v>
      </c>
      <c r="L8" s="20"/>
      <c r="M8" s="22"/>
      <c r="N8" s="10"/>
    </row>
    <row r="9" spans="1:14" s="29" customFormat="1" ht="39.75" customHeight="1" x14ac:dyDescent="0.3">
      <c r="A9" s="41" t="s">
        <v>118</v>
      </c>
      <c r="B9" s="53" t="s">
        <v>122</v>
      </c>
      <c r="C9" s="54"/>
      <c r="D9" s="54"/>
      <c r="E9" s="55"/>
      <c r="F9" s="42">
        <f>F8-F10-F11</f>
        <v>43184.23</v>
      </c>
      <c r="G9" s="42">
        <f>F9/F45*1000</f>
        <v>1164.5715957538628</v>
      </c>
      <c r="H9" s="42">
        <f t="shared" ref="H9:K9" si="2">H8-H10-H11</f>
        <v>10627.17</v>
      </c>
      <c r="I9" s="42">
        <f>I8-I10-I11</f>
        <v>1164.5668595633483</v>
      </c>
      <c r="J9" s="42">
        <f t="shared" si="2"/>
        <v>655.03000000000009</v>
      </c>
      <c r="K9" s="42">
        <f t="shared" si="2"/>
        <v>1164.5740867842196</v>
      </c>
      <c r="L9" s="20"/>
      <c r="M9" s="22"/>
    </row>
    <row r="10" spans="1:14" s="29" customFormat="1" ht="39.75" customHeight="1" x14ac:dyDescent="0.3">
      <c r="A10" s="41" t="s">
        <v>119</v>
      </c>
      <c r="B10" s="53" t="s">
        <v>120</v>
      </c>
      <c r="C10" s="54"/>
      <c r="D10" s="54"/>
      <c r="E10" s="55"/>
      <c r="F10" s="42">
        <v>761.43</v>
      </c>
      <c r="G10" s="42">
        <f>F10/F45*1000</f>
        <v>20.533878921885687</v>
      </c>
      <c r="H10" s="42">
        <v>187.37</v>
      </c>
      <c r="I10" s="42">
        <v>20.53</v>
      </c>
      <c r="J10" s="42">
        <v>11.53</v>
      </c>
      <c r="K10" s="42">
        <v>20.53</v>
      </c>
      <c r="L10" s="20"/>
      <c r="M10" s="22"/>
    </row>
    <row r="11" spans="1:14" s="29" customFormat="1" ht="39.75" customHeight="1" x14ac:dyDescent="0.3">
      <c r="A11" s="41" t="s">
        <v>123</v>
      </c>
      <c r="B11" s="53" t="s">
        <v>121</v>
      </c>
      <c r="C11" s="54"/>
      <c r="D11" s="54"/>
      <c r="E11" s="55"/>
      <c r="F11" s="42">
        <v>10442.530000000001</v>
      </c>
      <c r="G11" s="42">
        <f>F11/F45*1000</f>
        <v>281.6091389335316</v>
      </c>
      <c r="H11" s="42">
        <v>2569.64</v>
      </c>
      <c r="I11" s="42">
        <v>281.61</v>
      </c>
      <c r="J11" s="42">
        <v>158.13999999999999</v>
      </c>
      <c r="K11" s="42">
        <v>281.61</v>
      </c>
      <c r="L11" s="20"/>
      <c r="M11" s="22"/>
    </row>
    <row r="12" spans="1:14" ht="32.25" customHeight="1" x14ac:dyDescent="0.3">
      <c r="A12" s="30" t="s">
        <v>12</v>
      </c>
      <c r="B12" s="56" t="s">
        <v>13</v>
      </c>
      <c r="C12" s="57"/>
      <c r="D12" s="57"/>
      <c r="E12" s="58"/>
      <c r="F12" s="18">
        <v>1353.8</v>
      </c>
      <c r="G12" s="18">
        <f>F12/F45*1000</f>
        <v>36.508628875206973</v>
      </c>
      <c r="H12" s="19">
        <v>333.15</v>
      </c>
      <c r="I12" s="19">
        <f>H12/H45*1000</f>
        <v>36.508279944197511</v>
      </c>
      <c r="J12" s="19">
        <v>20.53</v>
      </c>
      <c r="K12" s="19">
        <f>J12/J45*1000</f>
        <v>36.512234996580609</v>
      </c>
      <c r="L12" s="22"/>
      <c r="M12" s="22"/>
    </row>
    <row r="13" spans="1:14" ht="21" customHeight="1" x14ac:dyDescent="0.3">
      <c r="A13" s="30" t="s">
        <v>14</v>
      </c>
      <c r="B13" s="66" t="s">
        <v>15</v>
      </c>
      <c r="C13" s="67"/>
      <c r="D13" s="67"/>
      <c r="E13" s="68"/>
      <c r="F13" s="18">
        <v>0</v>
      </c>
      <c r="G13" s="18">
        <v>0</v>
      </c>
      <c r="H13" s="19">
        <v>0</v>
      </c>
      <c r="I13" s="19">
        <v>0</v>
      </c>
      <c r="J13" s="19">
        <v>0</v>
      </c>
      <c r="K13" s="19">
        <v>0</v>
      </c>
      <c r="L13" s="20"/>
      <c r="M13" s="22"/>
    </row>
    <row r="14" spans="1:14" ht="21" customHeight="1" x14ac:dyDescent="0.3">
      <c r="A14" s="30" t="s">
        <v>16</v>
      </c>
      <c r="B14" s="66" t="s">
        <v>17</v>
      </c>
      <c r="C14" s="67"/>
      <c r="D14" s="67"/>
      <c r="E14" s="68"/>
      <c r="F14" s="18">
        <v>0</v>
      </c>
      <c r="G14" s="18">
        <v>0</v>
      </c>
      <c r="H14" s="19">
        <v>0</v>
      </c>
      <c r="I14" s="19">
        <v>0</v>
      </c>
      <c r="J14" s="19">
        <v>0</v>
      </c>
      <c r="K14" s="19">
        <v>0</v>
      </c>
      <c r="L14" s="20"/>
      <c r="M14" s="22"/>
    </row>
    <row r="15" spans="1:14" ht="21" customHeight="1" x14ac:dyDescent="0.3">
      <c r="A15" s="13" t="s">
        <v>18</v>
      </c>
      <c r="B15" s="56" t="s">
        <v>19</v>
      </c>
      <c r="C15" s="57"/>
      <c r="D15" s="57"/>
      <c r="E15" s="58"/>
      <c r="F15" s="18"/>
      <c r="G15" s="18">
        <v>0</v>
      </c>
      <c r="H15" s="19"/>
      <c r="I15" s="19">
        <v>0</v>
      </c>
      <c r="J15" s="19"/>
      <c r="K15" s="19">
        <v>0</v>
      </c>
      <c r="L15" s="20"/>
      <c r="M15" s="22"/>
    </row>
    <row r="16" spans="1:14" ht="32.25" customHeight="1" x14ac:dyDescent="0.3">
      <c r="A16" s="13" t="s">
        <v>85</v>
      </c>
      <c r="B16" s="56" t="s">
        <v>21</v>
      </c>
      <c r="C16" s="57"/>
      <c r="D16" s="57"/>
      <c r="E16" s="58"/>
      <c r="F16" s="18">
        <v>16.57</v>
      </c>
      <c r="G16" s="18">
        <v>0.45</v>
      </c>
      <c r="H16" s="19">
        <v>4.0776546173578883</v>
      </c>
      <c r="I16" s="19">
        <v>0.44685023648882294</v>
      </c>
      <c r="J16" s="19">
        <v>0.25125373333006512</v>
      </c>
      <c r="K16" s="19">
        <v>0.44685023648882294</v>
      </c>
      <c r="L16" s="20"/>
      <c r="M16" s="22"/>
    </row>
    <row r="17" spans="1:13" ht="32.25" customHeight="1" x14ac:dyDescent="0.3">
      <c r="A17" s="13" t="s">
        <v>86</v>
      </c>
      <c r="B17" s="56" t="s">
        <v>23</v>
      </c>
      <c r="C17" s="57"/>
      <c r="D17" s="57"/>
      <c r="E17" s="58"/>
      <c r="F17" s="18">
        <f>156.11</f>
        <v>156.11000000000001</v>
      </c>
      <c r="G17" s="18">
        <f>F17/F45*1000</f>
        <v>4.2098995817022908</v>
      </c>
      <c r="H17" s="19">
        <f>L17*H49</f>
        <v>38.422993999999996</v>
      </c>
      <c r="I17" s="19">
        <f>H17/H45*1000</f>
        <v>4.2105880871866157</v>
      </c>
      <c r="J17" s="19">
        <v>2.37</v>
      </c>
      <c r="K17" s="19">
        <v>4.21</v>
      </c>
      <c r="L17" s="20">
        <v>196.94</v>
      </c>
      <c r="M17" s="22"/>
    </row>
    <row r="18" spans="1:13" ht="32.25" customHeight="1" x14ac:dyDescent="0.3">
      <c r="A18" s="13" t="s">
        <v>24</v>
      </c>
      <c r="B18" s="56" t="s">
        <v>25</v>
      </c>
      <c r="C18" s="57"/>
      <c r="D18" s="57"/>
      <c r="E18" s="58"/>
      <c r="F18" s="18">
        <v>4659.34</v>
      </c>
      <c r="G18" s="18">
        <v>125.65</v>
      </c>
      <c r="H18" s="19">
        <v>1146.5999999999999</v>
      </c>
      <c r="I18" s="19">
        <v>125.65080087701972</v>
      </c>
      <c r="J18" s="19">
        <v>70.650000000000006</v>
      </c>
      <c r="K18" s="19">
        <v>125.65080087701972</v>
      </c>
      <c r="L18" s="20"/>
      <c r="M18" s="22"/>
    </row>
    <row r="19" spans="1:13" ht="32.25" customHeight="1" x14ac:dyDescent="0.3">
      <c r="A19" s="13" t="s">
        <v>26</v>
      </c>
      <c r="B19" s="56" t="s">
        <v>27</v>
      </c>
      <c r="C19" s="57"/>
      <c r="D19" s="57"/>
      <c r="E19" s="58"/>
      <c r="F19" s="18">
        <f>F20+F21</f>
        <v>1681.6499999999999</v>
      </c>
      <c r="G19" s="18">
        <f>F19/F45*1000</f>
        <v>45.349930379665985</v>
      </c>
      <c r="H19" s="19">
        <f>H20+H21</f>
        <v>413.82075700000001</v>
      </c>
      <c r="I19" s="19">
        <f>H19/H45*1000</f>
        <v>45.34859385644824</v>
      </c>
      <c r="J19" s="19">
        <f>J20+J21</f>
        <v>25.5</v>
      </c>
      <c r="K19" s="19">
        <v>45.35</v>
      </c>
      <c r="L19" s="20"/>
      <c r="M19" s="22"/>
    </row>
    <row r="20" spans="1:13" ht="32.25" customHeight="1" x14ac:dyDescent="0.3">
      <c r="A20" s="13" t="s">
        <v>28</v>
      </c>
      <c r="B20" s="56" t="s">
        <v>29</v>
      </c>
      <c r="C20" s="57"/>
      <c r="D20" s="57"/>
      <c r="E20" s="58"/>
      <c r="F20" s="18">
        <f>1379.07</f>
        <v>1379.07</v>
      </c>
      <c r="G20" s="18">
        <f>F20/F45*1000</f>
        <v>37.190098111191965</v>
      </c>
      <c r="H20" s="19">
        <f>L20*H49</f>
        <v>339.35694000000001</v>
      </c>
      <c r="I20" s="19">
        <f>H20/H45*1000</f>
        <v>37.188468157065103</v>
      </c>
      <c r="J20" s="19">
        <f>20.91</f>
        <v>20.91</v>
      </c>
      <c r="K20" s="19">
        <f>37.185</f>
        <v>37.185000000000002</v>
      </c>
      <c r="L20" s="20">
        <v>1739.4</v>
      </c>
      <c r="M20" s="22"/>
    </row>
    <row r="21" spans="1:13" ht="32.25" customHeight="1" x14ac:dyDescent="0.3">
      <c r="A21" s="13" t="s">
        <v>30</v>
      </c>
      <c r="B21" s="56" t="s">
        <v>27</v>
      </c>
      <c r="C21" s="57"/>
      <c r="D21" s="57"/>
      <c r="E21" s="58"/>
      <c r="F21" s="18">
        <f>302.58</f>
        <v>302.58</v>
      </c>
      <c r="G21" s="18">
        <f>F21/F45*1000</f>
        <v>8.1598322684740179</v>
      </c>
      <c r="H21" s="19">
        <f>L21*H49</f>
        <v>74.463817000000006</v>
      </c>
      <c r="I21" s="19">
        <f>H21/H45*1000</f>
        <v>8.1601256993831424</v>
      </c>
      <c r="J21" s="19">
        <f>4.59</f>
        <v>4.59</v>
      </c>
      <c r="K21" s="19">
        <f>8.16</f>
        <v>8.16</v>
      </c>
      <c r="L21" s="20">
        <v>381.67</v>
      </c>
      <c r="M21" s="22"/>
    </row>
    <row r="22" spans="1:13" ht="32.25" customHeight="1" x14ac:dyDescent="0.3">
      <c r="A22" s="13" t="s">
        <v>31</v>
      </c>
      <c r="B22" s="56" t="s">
        <v>32</v>
      </c>
      <c r="C22" s="57"/>
      <c r="D22" s="57"/>
      <c r="E22" s="58"/>
      <c r="F22" s="18">
        <f>F23+F24</f>
        <v>4392.6400000000003</v>
      </c>
      <c r="G22" s="18">
        <f>G23+G24</f>
        <v>118.45854057638302</v>
      </c>
      <c r="H22" s="19">
        <f>H23+H24</f>
        <v>1080.9578550000001</v>
      </c>
      <c r="I22" s="19">
        <f>H22/H45*1000</f>
        <v>118.45688722263023</v>
      </c>
      <c r="J22" s="19">
        <f>J23+J24</f>
        <v>66.61</v>
      </c>
      <c r="K22" s="19">
        <f>K23+K24</f>
        <v>118.45847406546852</v>
      </c>
      <c r="L22" s="20"/>
      <c r="M22" s="22"/>
    </row>
    <row r="23" spans="1:13" ht="32.25" customHeight="1" x14ac:dyDescent="0.3">
      <c r="A23" s="13" t="s">
        <v>33</v>
      </c>
      <c r="B23" s="56" t="s">
        <v>34</v>
      </c>
      <c r="C23" s="57"/>
      <c r="D23" s="57"/>
      <c r="E23" s="58"/>
      <c r="F23" s="18">
        <v>4130.1000000000004</v>
      </c>
      <c r="G23" s="18">
        <v>111.37848781755834</v>
      </c>
      <c r="H23" s="19">
        <v>1016.37</v>
      </c>
      <c r="I23" s="19">
        <v>111.37847406546852</v>
      </c>
      <c r="J23" s="19">
        <f>62.63</f>
        <v>62.63</v>
      </c>
      <c r="K23" s="19">
        <v>111.37847406546852</v>
      </c>
      <c r="L23" s="20"/>
      <c r="M23" s="22"/>
    </row>
    <row r="24" spans="1:13" ht="32.25" customHeight="1" x14ac:dyDescent="0.3">
      <c r="A24" s="13" t="s">
        <v>35</v>
      </c>
      <c r="B24" s="56" t="s">
        <v>36</v>
      </c>
      <c r="C24" s="57"/>
      <c r="D24" s="57"/>
      <c r="E24" s="58"/>
      <c r="F24" s="18">
        <v>262.54000000000002</v>
      </c>
      <c r="G24" s="18">
        <f>F24/F45*1000</f>
        <v>7.0800527588246718</v>
      </c>
      <c r="H24" s="19">
        <f>L24*H49</f>
        <v>64.587855000000005</v>
      </c>
      <c r="I24" s="19">
        <f>H24/H45*1000</f>
        <v>7.0778673010212731</v>
      </c>
      <c r="J24" s="19">
        <f>3.98</f>
        <v>3.98</v>
      </c>
      <c r="K24" s="19">
        <v>7.08</v>
      </c>
      <c r="L24" s="20">
        <v>331.05</v>
      </c>
      <c r="M24" s="22"/>
    </row>
    <row r="25" spans="1:13" ht="32.25" customHeight="1" x14ac:dyDescent="0.3">
      <c r="A25" s="13" t="s">
        <v>37</v>
      </c>
      <c r="B25" s="56" t="s">
        <v>38</v>
      </c>
      <c r="C25" s="57"/>
      <c r="D25" s="57"/>
      <c r="E25" s="58"/>
      <c r="F25" s="18">
        <f>F26+F27</f>
        <v>2383.65</v>
      </c>
      <c r="G25" s="18">
        <f t="shared" ref="G25:J25" si="3">G26+G27</f>
        <v>64.281033062085356</v>
      </c>
      <c r="H25" s="19">
        <f>H26+H27</f>
        <v>586.54697099999998</v>
      </c>
      <c r="I25" s="19">
        <f t="shared" si="3"/>
        <v>64.276325308483067</v>
      </c>
      <c r="J25" s="19">
        <f t="shared" si="3"/>
        <v>36.159999999999997</v>
      </c>
      <c r="K25" s="19">
        <f>K26+K27</f>
        <v>64.281999999999996</v>
      </c>
      <c r="L25" s="20"/>
      <c r="M25" s="22"/>
    </row>
    <row r="26" spans="1:13" ht="32.25" customHeight="1" x14ac:dyDescent="0.3">
      <c r="A26" s="13" t="s">
        <v>39</v>
      </c>
      <c r="B26" s="56" t="s">
        <v>34</v>
      </c>
      <c r="C26" s="57"/>
      <c r="D26" s="57"/>
      <c r="E26" s="58"/>
      <c r="F26" s="18">
        <v>2256.46</v>
      </c>
      <c r="G26" s="18">
        <v>60.851034165174759</v>
      </c>
      <c r="H26" s="19">
        <v>555.29</v>
      </c>
      <c r="I26" s="19">
        <v>60.851026651794896</v>
      </c>
      <c r="J26" s="19">
        <v>34.229999999999997</v>
      </c>
      <c r="K26" s="19">
        <v>60.851999999999997</v>
      </c>
      <c r="L26" s="20"/>
      <c r="M26" s="22"/>
    </row>
    <row r="27" spans="1:13" ht="32.25" customHeight="1" x14ac:dyDescent="0.3">
      <c r="A27" s="13" t="s">
        <v>40</v>
      </c>
      <c r="B27" s="56" t="s">
        <v>36</v>
      </c>
      <c r="C27" s="57"/>
      <c r="D27" s="57"/>
      <c r="E27" s="58"/>
      <c r="F27" s="18">
        <f>127.19</f>
        <v>127.19</v>
      </c>
      <c r="G27" s="18">
        <f>F27/F45*1000</f>
        <v>3.4299988969106034</v>
      </c>
      <c r="H27" s="19">
        <f>L27*H49</f>
        <v>31.256971</v>
      </c>
      <c r="I27" s="19">
        <f>H27/H45*1000</f>
        <v>3.425298656688168</v>
      </c>
      <c r="J27" s="19">
        <f>1.93</f>
        <v>1.93</v>
      </c>
      <c r="K27" s="19">
        <f>3.43</f>
        <v>3.43</v>
      </c>
      <c r="L27" s="20">
        <v>160.21</v>
      </c>
      <c r="M27" s="22"/>
    </row>
    <row r="28" spans="1:13" ht="32.25" customHeight="1" x14ac:dyDescent="0.3">
      <c r="A28" s="13" t="s">
        <v>41</v>
      </c>
      <c r="B28" s="56" t="s">
        <v>42</v>
      </c>
      <c r="C28" s="57"/>
      <c r="D28" s="57"/>
      <c r="E28" s="58"/>
      <c r="F28" s="18">
        <v>0</v>
      </c>
      <c r="G28" s="18">
        <v>0</v>
      </c>
      <c r="H28" s="19">
        <v>0</v>
      </c>
      <c r="I28" s="19">
        <v>0</v>
      </c>
      <c r="J28" s="19">
        <v>0</v>
      </c>
      <c r="K28" s="19">
        <v>0</v>
      </c>
      <c r="L28" s="20"/>
      <c r="M28" s="22"/>
    </row>
    <row r="29" spans="1:13" ht="32.25" customHeight="1" x14ac:dyDescent="0.3">
      <c r="A29" s="13" t="s">
        <v>43</v>
      </c>
      <c r="B29" s="56" t="s">
        <v>34</v>
      </c>
      <c r="C29" s="57"/>
      <c r="D29" s="57"/>
      <c r="E29" s="58"/>
      <c r="F29" s="18">
        <v>0</v>
      </c>
      <c r="G29" s="18">
        <v>0</v>
      </c>
      <c r="H29" s="19">
        <v>0</v>
      </c>
      <c r="I29" s="19">
        <v>0</v>
      </c>
      <c r="J29" s="19">
        <v>0</v>
      </c>
      <c r="K29" s="19">
        <v>0</v>
      </c>
      <c r="L29" s="20"/>
      <c r="M29" s="22"/>
    </row>
    <row r="30" spans="1:13" ht="32.25" customHeight="1" x14ac:dyDescent="0.3">
      <c r="A30" s="13" t="s">
        <v>44</v>
      </c>
      <c r="B30" s="56" t="s">
        <v>36</v>
      </c>
      <c r="C30" s="57"/>
      <c r="D30" s="57"/>
      <c r="E30" s="58"/>
      <c r="F30" s="18">
        <v>0</v>
      </c>
      <c r="G30" s="18">
        <v>0</v>
      </c>
      <c r="H30" s="19">
        <v>0</v>
      </c>
      <c r="I30" s="19">
        <v>0</v>
      </c>
      <c r="J30" s="19">
        <v>0</v>
      </c>
      <c r="K30" s="19">
        <v>0</v>
      </c>
      <c r="L30" s="20"/>
      <c r="M30" s="22"/>
    </row>
    <row r="31" spans="1:13" ht="32.25" customHeight="1" x14ac:dyDescent="0.3">
      <c r="A31" s="13" t="s">
        <v>45</v>
      </c>
      <c r="B31" s="56" t="s">
        <v>46</v>
      </c>
      <c r="C31" s="57"/>
      <c r="D31" s="57"/>
      <c r="E31" s="58"/>
      <c r="F31" s="18"/>
      <c r="G31" s="18"/>
      <c r="H31" s="19">
        <v>0</v>
      </c>
      <c r="I31" s="19">
        <v>0</v>
      </c>
      <c r="J31" s="19">
        <v>0</v>
      </c>
      <c r="K31" s="19">
        <v>0</v>
      </c>
      <c r="L31" s="20"/>
      <c r="M31" s="22"/>
    </row>
    <row r="32" spans="1:13" ht="32.25" customHeight="1" x14ac:dyDescent="0.3">
      <c r="A32" s="13" t="s">
        <v>47</v>
      </c>
      <c r="B32" s="56" t="s">
        <v>48</v>
      </c>
      <c r="C32" s="57"/>
      <c r="D32" s="57"/>
      <c r="E32" s="58"/>
      <c r="F32" s="18">
        <f>F6+F25</f>
        <v>69031.950000000012</v>
      </c>
      <c r="G32" s="18">
        <f>F32/F45*1000</f>
        <v>1861.6205075209371</v>
      </c>
      <c r="H32" s="18">
        <f t="shared" ref="H32" si="4">H6+H25</f>
        <v>16987.756231617357</v>
      </c>
      <c r="I32" s="18">
        <f>H32/H45*1000+0.01</f>
        <v>1861.6151632227893</v>
      </c>
      <c r="J32" s="18">
        <f>J6+J25</f>
        <v>1046.77125373333</v>
      </c>
      <c r="K32" s="18">
        <f>J32/J45*1000-0.04</f>
        <v>1861.6238092536119</v>
      </c>
      <c r="L32" s="18">
        <f t="shared" ref="L32" si="5">L6+L25</f>
        <v>0</v>
      </c>
      <c r="M32" s="22"/>
    </row>
    <row r="33" spans="1:13" ht="32.25" customHeight="1" x14ac:dyDescent="0.3">
      <c r="A33" s="13" t="s">
        <v>49</v>
      </c>
      <c r="B33" s="56" t="s">
        <v>50</v>
      </c>
      <c r="C33" s="57"/>
      <c r="D33" s="57"/>
      <c r="E33" s="58"/>
      <c r="F33" s="18"/>
      <c r="G33" s="18">
        <v>0</v>
      </c>
      <c r="H33" s="19"/>
      <c r="I33" s="19">
        <v>0</v>
      </c>
      <c r="J33" s="19"/>
      <c r="K33" s="19">
        <v>0</v>
      </c>
      <c r="L33" s="20"/>
      <c r="M33" s="22"/>
    </row>
    <row r="34" spans="1:13" ht="32.25" customHeight="1" x14ac:dyDescent="0.3">
      <c r="A34" s="13" t="s">
        <v>51</v>
      </c>
      <c r="B34" s="56" t="s">
        <v>52</v>
      </c>
      <c r="C34" s="57"/>
      <c r="D34" s="57"/>
      <c r="E34" s="58"/>
      <c r="F34" s="18">
        <v>0</v>
      </c>
      <c r="G34" s="18">
        <v>0</v>
      </c>
      <c r="H34" s="23">
        <f>1868.42</f>
        <v>1868.42</v>
      </c>
      <c r="I34" s="23">
        <v>204.75</v>
      </c>
      <c r="J34" s="23">
        <f>115.13</f>
        <v>115.13</v>
      </c>
      <c r="K34" s="23">
        <f>I34</f>
        <v>204.75</v>
      </c>
      <c r="L34" s="20"/>
      <c r="M34" s="22"/>
    </row>
    <row r="35" spans="1:13" ht="32.25" customHeight="1" x14ac:dyDescent="0.3">
      <c r="A35" s="13" t="s">
        <v>53</v>
      </c>
      <c r="B35" s="56" t="s">
        <v>54</v>
      </c>
      <c r="C35" s="57"/>
      <c r="D35" s="57"/>
      <c r="E35" s="58"/>
      <c r="F35" s="18">
        <v>0</v>
      </c>
      <c r="G35" s="18">
        <v>0</v>
      </c>
      <c r="H35" s="23">
        <f>I35*H45/1000</f>
        <v>285.01180843728793</v>
      </c>
      <c r="I35" s="23">
        <f>I34-I37</f>
        <v>31.233050847457605</v>
      </c>
      <c r="J35" s="23">
        <f>K35*J45/1000</f>
        <v>17.561634722124097</v>
      </c>
      <c r="K35" s="23">
        <f>K34-K37</f>
        <v>31.233050847457605</v>
      </c>
      <c r="L35" s="20"/>
      <c r="M35" s="22"/>
    </row>
    <row r="36" spans="1:13" ht="32.25" customHeight="1" x14ac:dyDescent="0.3">
      <c r="A36" s="13" t="s">
        <v>55</v>
      </c>
      <c r="B36" s="56" t="s">
        <v>56</v>
      </c>
      <c r="C36" s="57"/>
      <c r="D36" s="57"/>
      <c r="E36" s="58"/>
      <c r="F36" s="18"/>
      <c r="G36" s="18">
        <v>0</v>
      </c>
      <c r="H36" s="23">
        <f>I36*H45/1000</f>
        <v>0</v>
      </c>
      <c r="I36" s="23"/>
      <c r="J36" s="23"/>
      <c r="K36" s="23"/>
      <c r="L36" s="20"/>
      <c r="M36" s="22"/>
    </row>
    <row r="37" spans="1:13" ht="32.25" customHeight="1" x14ac:dyDescent="0.3">
      <c r="A37" s="13" t="s">
        <v>57</v>
      </c>
      <c r="B37" s="56" t="s">
        <v>58</v>
      </c>
      <c r="C37" s="57"/>
      <c r="D37" s="57"/>
      <c r="E37" s="58"/>
      <c r="F37" s="18">
        <v>0</v>
      </c>
      <c r="G37" s="18">
        <v>0</v>
      </c>
      <c r="H37" s="19">
        <f>1583.41</f>
        <v>1583.41</v>
      </c>
      <c r="I37" s="19">
        <f>I34/1.18</f>
        <v>173.5169491525424</v>
      </c>
      <c r="J37" s="19">
        <f>97.56</f>
        <v>97.56</v>
      </c>
      <c r="K37" s="19">
        <f>K34/1.18</f>
        <v>173.5169491525424</v>
      </c>
      <c r="L37" s="22"/>
      <c r="M37" s="22"/>
    </row>
    <row r="38" spans="1:13" ht="32.25" customHeight="1" x14ac:dyDescent="0.3">
      <c r="A38" s="13" t="s">
        <v>59</v>
      </c>
      <c r="B38" s="56" t="s">
        <v>60</v>
      </c>
      <c r="C38" s="57"/>
      <c r="D38" s="57"/>
      <c r="E38" s="58"/>
      <c r="F38" s="18">
        <v>0</v>
      </c>
      <c r="G38" s="18">
        <v>0</v>
      </c>
      <c r="H38" s="19">
        <v>0</v>
      </c>
      <c r="I38" s="19">
        <v>0</v>
      </c>
      <c r="J38" s="19">
        <v>0</v>
      </c>
      <c r="K38" s="19">
        <v>0</v>
      </c>
      <c r="L38" s="20"/>
      <c r="M38" s="22"/>
    </row>
    <row r="39" spans="1:13" ht="32.25" customHeight="1" x14ac:dyDescent="0.3">
      <c r="A39" s="13" t="s">
        <v>61</v>
      </c>
      <c r="B39" s="56" t="s">
        <v>62</v>
      </c>
      <c r="C39" s="57"/>
      <c r="D39" s="57"/>
      <c r="E39" s="58"/>
      <c r="F39" s="18">
        <f>F32</f>
        <v>69031.950000000012</v>
      </c>
      <c r="G39" s="18">
        <f>G32</f>
        <v>1861.6205075209371</v>
      </c>
      <c r="H39" s="19">
        <f>H32+H34</f>
        <v>18856.176231617355</v>
      </c>
      <c r="I39" s="19">
        <f>I32+I34</f>
        <v>2066.3651632227893</v>
      </c>
      <c r="J39" s="19">
        <f>J32+J34</f>
        <v>1161.9012537333301</v>
      </c>
      <c r="K39" s="19">
        <f>K32+K34</f>
        <v>2066.3738092536119</v>
      </c>
      <c r="L39" s="20"/>
      <c r="M39" s="22"/>
    </row>
    <row r="40" spans="1:13" ht="32.25" customHeight="1" x14ac:dyDescent="0.3">
      <c r="A40" s="13" t="s">
        <v>63</v>
      </c>
      <c r="B40" s="56" t="s">
        <v>64</v>
      </c>
      <c r="C40" s="57"/>
      <c r="D40" s="57"/>
      <c r="E40" s="58"/>
      <c r="F40" s="9"/>
      <c r="G40" s="9">
        <v>1861.62</v>
      </c>
      <c r="H40" s="14"/>
      <c r="I40" s="14">
        <v>2066.37</v>
      </c>
      <c r="J40" s="14"/>
      <c r="K40" s="14">
        <v>2066.37</v>
      </c>
      <c r="M40" s="22"/>
    </row>
    <row r="41" spans="1:13" ht="32.25" customHeight="1" x14ac:dyDescent="0.3">
      <c r="A41" s="13" t="s">
        <v>65</v>
      </c>
      <c r="B41" s="56" t="s">
        <v>66</v>
      </c>
      <c r="C41" s="57"/>
      <c r="D41" s="57"/>
      <c r="E41" s="58"/>
      <c r="F41" s="9">
        <f>F8</f>
        <v>54388.19</v>
      </c>
      <c r="G41" s="9">
        <f>G8</f>
        <v>1466.7146136092801</v>
      </c>
      <c r="H41" s="9">
        <f t="shared" ref="H41:K41" si="6">H8</f>
        <v>13384.18</v>
      </c>
      <c r="I41" s="9">
        <f t="shared" si="6"/>
        <v>1466.7068595633482</v>
      </c>
      <c r="J41" s="9">
        <f t="shared" si="6"/>
        <v>824.7</v>
      </c>
      <c r="K41" s="9">
        <f t="shared" si="6"/>
        <v>1466.7140867842195</v>
      </c>
      <c r="M41" s="22"/>
    </row>
    <row r="42" spans="1:13" ht="32.25" customHeight="1" x14ac:dyDescent="0.3">
      <c r="A42" s="13" t="s">
        <v>67</v>
      </c>
      <c r="B42" s="56" t="s">
        <v>68</v>
      </c>
      <c r="C42" s="57"/>
      <c r="D42" s="57"/>
      <c r="E42" s="58"/>
      <c r="F42" s="9">
        <f>F39-F41</f>
        <v>14643.760000000009</v>
      </c>
      <c r="G42" s="9">
        <f t="shared" ref="G42:K42" si="7">G39-G41</f>
        <v>394.9058939116569</v>
      </c>
      <c r="H42" s="9">
        <f>H39-H41</f>
        <v>5471.9962316173551</v>
      </c>
      <c r="I42" s="9">
        <f t="shared" si="7"/>
        <v>599.65830365944112</v>
      </c>
      <c r="J42" s="9">
        <f t="shared" si="7"/>
        <v>337.20125373333008</v>
      </c>
      <c r="K42" s="9">
        <f t="shared" si="7"/>
        <v>599.65972246939236</v>
      </c>
      <c r="M42" s="22"/>
    </row>
    <row r="43" spans="1:13" ht="32.25" customHeight="1" x14ac:dyDescent="0.3">
      <c r="A43" s="13" t="s">
        <v>69</v>
      </c>
      <c r="B43" s="56" t="s">
        <v>70</v>
      </c>
      <c r="C43" s="57"/>
      <c r="D43" s="57"/>
      <c r="E43" s="58"/>
      <c r="F43" s="9">
        <f>F41/F39*100</f>
        <v>78.7869819699429</v>
      </c>
      <c r="G43" s="9">
        <f t="shared" ref="G43:K43" si="8">G41/G39*100</f>
        <v>78.7869819699429</v>
      </c>
      <c r="H43" s="9">
        <f t="shared" si="8"/>
        <v>70.980350605537353</v>
      </c>
      <c r="I43" s="9">
        <f t="shared" si="8"/>
        <v>70.980041943593889</v>
      </c>
      <c r="J43" s="9">
        <f t="shared" si="8"/>
        <v>70.978492995866787</v>
      </c>
      <c r="K43" s="9">
        <f t="shared" si="8"/>
        <v>70.980094705807687</v>
      </c>
      <c r="M43" s="22"/>
    </row>
    <row r="44" spans="1:13" ht="32.25" customHeight="1" x14ac:dyDescent="0.3">
      <c r="A44" s="13" t="s">
        <v>71</v>
      </c>
      <c r="B44" s="56" t="s">
        <v>72</v>
      </c>
      <c r="C44" s="57"/>
      <c r="D44" s="57"/>
      <c r="E44" s="58"/>
      <c r="F44" s="9">
        <f>F42/F39*100</f>
        <v>21.213018030057107</v>
      </c>
      <c r="G44" s="9">
        <f t="shared" ref="G44:L44" si="9">G42/G39*100</f>
        <v>21.2130180300571</v>
      </c>
      <c r="H44" s="9">
        <f t="shared" si="9"/>
        <v>29.019649394462643</v>
      </c>
      <c r="I44" s="9">
        <f t="shared" si="9"/>
        <v>29.019958056406107</v>
      </c>
      <c r="J44" s="9">
        <f t="shared" si="9"/>
        <v>29.02150700413322</v>
      </c>
      <c r="K44" s="9">
        <f t="shared" si="9"/>
        <v>29.019905294192316</v>
      </c>
      <c r="L44" s="9" t="e">
        <f t="shared" si="9"/>
        <v>#DIV/0!</v>
      </c>
      <c r="M44" s="22"/>
    </row>
    <row r="45" spans="1:13" ht="32.25" customHeight="1" x14ac:dyDescent="0.3">
      <c r="A45" s="13" t="s">
        <v>109</v>
      </c>
      <c r="B45" s="56" t="s">
        <v>74</v>
      </c>
      <c r="C45" s="57"/>
      <c r="D45" s="57"/>
      <c r="E45" s="58"/>
      <c r="F45" s="9">
        <v>37081.644578533218</v>
      </c>
      <c r="G45" s="9"/>
      <c r="H45" s="14">
        <v>9125.3271999999997</v>
      </c>
      <c r="I45" s="14"/>
      <c r="J45" s="14">
        <v>562.27727505376345</v>
      </c>
      <c r="K45" s="14"/>
      <c r="M45" s="22"/>
    </row>
    <row r="46" spans="1:13" ht="32.25" customHeight="1" x14ac:dyDescent="0.3">
      <c r="A46" s="13" t="s">
        <v>110</v>
      </c>
      <c r="B46" s="56" t="s">
        <v>83</v>
      </c>
      <c r="C46" s="57"/>
      <c r="D46" s="57"/>
      <c r="E46" s="58"/>
      <c r="F46" s="9"/>
      <c r="G46" s="9">
        <f>G32</f>
        <v>1861.6205075209371</v>
      </c>
      <c r="H46" s="14"/>
      <c r="I46" s="14">
        <f>I39</f>
        <v>2066.3651632227893</v>
      </c>
      <c r="J46" s="14"/>
      <c r="K46" s="14">
        <f>K39</f>
        <v>2066.3738092536119</v>
      </c>
      <c r="M46" s="22"/>
    </row>
    <row r="47" spans="1:13" ht="32.25" customHeight="1" x14ac:dyDescent="0.3">
      <c r="A47" s="13" t="s">
        <v>111</v>
      </c>
      <c r="B47" s="56" t="s">
        <v>78</v>
      </c>
      <c r="C47" s="57"/>
      <c r="D47" s="57"/>
      <c r="E47" s="58"/>
      <c r="F47" s="9">
        <v>0</v>
      </c>
      <c r="G47" s="9">
        <f>G46*1.2</f>
        <v>2233.9446090251245</v>
      </c>
      <c r="H47" s="14">
        <v>0</v>
      </c>
      <c r="I47" s="14">
        <f>I46*1.2</f>
        <v>2479.6381958673469</v>
      </c>
      <c r="J47" s="14">
        <v>0</v>
      </c>
      <c r="K47" s="14">
        <f>K46*1.2-0.01</f>
        <v>2479.638571104334</v>
      </c>
    </row>
    <row r="48" spans="1:13" ht="6.75" hidden="1" customHeight="1" x14ac:dyDescent="0.25"/>
    <row r="49" spans="2:11" hidden="1" x14ac:dyDescent="0.25">
      <c r="F49" s="16">
        <v>0.79290000000000005</v>
      </c>
      <c r="G49" s="10"/>
      <c r="H49" s="16">
        <v>0.1951</v>
      </c>
      <c r="I49" s="10"/>
      <c r="J49" s="16">
        <v>1.2E-2</v>
      </c>
    </row>
    <row r="50" spans="2:11" hidden="1" x14ac:dyDescent="0.25"/>
    <row r="51" spans="2:11" ht="15.75" customHeight="1" x14ac:dyDescent="0.3">
      <c r="B51" s="61"/>
      <c r="C51" s="62"/>
      <c r="D51" s="62"/>
      <c r="E51" s="62"/>
      <c r="F51" s="62"/>
      <c r="G51" s="62"/>
      <c r="H51" s="62"/>
      <c r="I51" s="62"/>
      <c r="J51" s="62"/>
      <c r="K51" s="62"/>
    </row>
    <row r="52" spans="2:11" ht="30.75" customHeight="1" x14ac:dyDescent="0.3">
      <c r="B52" s="51" t="s">
        <v>125</v>
      </c>
      <c r="C52" s="51"/>
      <c r="D52" s="51"/>
      <c r="E52" s="51"/>
      <c r="G52" s="51" t="s">
        <v>126</v>
      </c>
    </row>
    <row r="53" spans="2:11" ht="30.75" customHeight="1" x14ac:dyDescent="0.3">
      <c r="B53" s="51" t="s">
        <v>127</v>
      </c>
      <c r="C53" s="51"/>
      <c r="D53" s="51"/>
      <c r="E53" s="51"/>
      <c r="G53" s="51" t="s">
        <v>128</v>
      </c>
      <c r="H53" s="10"/>
      <c r="I53" s="10"/>
      <c r="J53" s="10"/>
      <c r="K53" s="10"/>
    </row>
    <row r="54" spans="2:11" ht="30.75" customHeight="1" x14ac:dyDescent="0.3">
      <c r="B54" s="51" t="s">
        <v>129</v>
      </c>
      <c r="C54" s="51"/>
      <c r="D54" s="51"/>
      <c r="E54" s="51"/>
      <c r="G54" s="51" t="s">
        <v>130</v>
      </c>
      <c r="H54" s="10"/>
      <c r="I54" s="10"/>
      <c r="J54" s="10"/>
      <c r="K54" s="10"/>
    </row>
  </sheetData>
  <mergeCells count="51">
    <mergeCell ref="I1:K1"/>
    <mergeCell ref="B51:K51"/>
    <mergeCell ref="B15:E15"/>
    <mergeCell ref="B16:E16"/>
    <mergeCell ref="A2:K2"/>
    <mergeCell ref="B12:E12"/>
    <mergeCell ref="B13:E13"/>
    <mergeCell ref="B14:E14"/>
    <mergeCell ref="B8:E8"/>
    <mergeCell ref="H3:I3"/>
    <mergeCell ref="J3:K3"/>
    <mergeCell ref="F3:G3"/>
    <mergeCell ref="B3:E4"/>
    <mergeCell ref="B5:E5"/>
    <mergeCell ref="B6:E6"/>
    <mergeCell ref="B7:E7"/>
    <mergeCell ref="A3:A4"/>
    <mergeCell ref="B17:E17"/>
    <mergeCell ref="B18:E18"/>
    <mergeCell ref="B41:E41"/>
    <mergeCell ref="B19:E19"/>
    <mergeCell ref="B20:E20"/>
    <mergeCell ref="B30:E30"/>
    <mergeCell ref="B26:E26"/>
    <mergeCell ref="B27:E27"/>
    <mergeCell ref="B28:E28"/>
    <mergeCell ref="B29:E29"/>
    <mergeCell ref="B21:E21"/>
    <mergeCell ref="B22:E22"/>
    <mergeCell ref="B23:E23"/>
    <mergeCell ref="B24:E24"/>
    <mergeCell ref="B25:E25"/>
    <mergeCell ref="B46:E46"/>
    <mergeCell ref="B47:E47"/>
    <mergeCell ref="B42:E42"/>
    <mergeCell ref="B43:E43"/>
    <mergeCell ref="B40:E40"/>
    <mergeCell ref="B9:E9"/>
    <mergeCell ref="B10:E10"/>
    <mergeCell ref="B11:E11"/>
    <mergeCell ref="B44:E44"/>
    <mergeCell ref="B45:E45"/>
    <mergeCell ref="B31:E31"/>
    <mergeCell ref="B35:E35"/>
    <mergeCell ref="B36:E36"/>
    <mergeCell ref="B37:E37"/>
    <mergeCell ref="B38:E38"/>
    <mergeCell ref="B39:E39"/>
    <mergeCell ref="B32:E32"/>
    <mergeCell ref="B33:E33"/>
    <mergeCell ref="B34:E34"/>
  </mergeCells>
  <pageMargins left="1.1811023622047245" right="0.39370078740157483" top="0.78740157480314965" bottom="0.78740157480314965" header="0.31496062992125984" footer="0.31496062992125984"/>
  <pageSetup paperSize="9" scale="41" orientation="portrait" r:id="rId1"/>
  <ignoredErrors>
    <ignoredError sqref="G19:H19 H22 H17 H20:H21 H24 H27 I19 I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1"/>
  <sheetViews>
    <sheetView zoomScale="75" zoomScaleNormal="75" workbookViewId="0">
      <selection activeCell="M4" sqref="M4:N49"/>
    </sheetView>
  </sheetViews>
  <sheetFormatPr defaultRowHeight="15" x14ac:dyDescent="0.25"/>
  <cols>
    <col min="5" max="5" width="56.140625" customWidth="1"/>
    <col min="6" max="6" width="15.7109375" customWidth="1"/>
    <col min="7" max="7" width="12.5703125" customWidth="1"/>
    <col min="8" max="8" width="16.140625" customWidth="1"/>
    <col min="9" max="11" width="15.7109375" customWidth="1"/>
    <col min="12" max="12" width="9.140625" hidden="1" customWidth="1"/>
    <col min="13" max="13" width="15.28515625" customWidth="1"/>
    <col min="14" max="14" width="14.42578125" customWidth="1"/>
  </cols>
  <sheetData>
    <row r="1" spans="1:14" ht="64.5" customHeight="1" x14ac:dyDescent="0.25">
      <c r="I1" s="78"/>
      <c r="J1" s="78"/>
      <c r="K1" s="78"/>
    </row>
    <row r="2" spans="1:14" ht="64.5" customHeight="1" x14ac:dyDescent="0.25">
      <c r="A2" s="63" t="s">
        <v>131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4" ht="36.75" customHeight="1" x14ac:dyDescent="0.25">
      <c r="A3" s="76" t="s">
        <v>0</v>
      </c>
      <c r="B3" s="76" t="s">
        <v>1</v>
      </c>
      <c r="C3" s="76"/>
      <c r="D3" s="76"/>
      <c r="E3" s="76"/>
      <c r="F3" s="77" t="s">
        <v>114</v>
      </c>
      <c r="G3" s="77"/>
      <c r="H3" s="77" t="s">
        <v>115</v>
      </c>
      <c r="I3" s="77"/>
      <c r="J3" s="77" t="s">
        <v>116</v>
      </c>
      <c r="K3" s="77"/>
      <c r="L3" s="1"/>
    </row>
    <row r="4" spans="1:14" ht="37.5" x14ac:dyDescent="0.25">
      <c r="A4" s="76"/>
      <c r="B4" s="76"/>
      <c r="C4" s="76"/>
      <c r="D4" s="76"/>
      <c r="E4" s="76"/>
      <c r="F4" s="2" t="s">
        <v>5</v>
      </c>
      <c r="G4" s="2" t="s">
        <v>6</v>
      </c>
      <c r="H4" s="2" t="s">
        <v>5</v>
      </c>
      <c r="I4" s="2" t="s">
        <v>6</v>
      </c>
      <c r="J4" s="2" t="s">
        <v>5</v>
      </c>
      <c r="K4" s="2" t="s">
        <v>6</v>
      </c>
      <c r="L4" s="1"/>
    </row>
    <row r="5" spans="1:14" ht="1.5" customHeight="1" x14ac:dyDescent="0.3">
      <c r="A5" s="7">
        <v>1</v>
      </c>
      <c r="B5" s="79">
        <v>2</v>
      </c>
      <c r="C5" s="79"/>
      <c r="D5" s="79"/>
      <c r="E5" s="79"/>
      <c r="F5" s="6"/>
      <c r="G5" s="6"/>
      <c r="H5" s="6"/>
      <c r="I5" s="6"/>
      <c r="J5" s="6"/>
      <c r="K5" s="6"/>
    </row>
    <row r="6" spans="1:14" ht="30" customHeight="1" x14ac:dyDescent="0.3">
      <c r="A6" s="6">
        <v>1</v>
      </c>
      <c r="B6" s="76" t="s">
        <v>7</v>
      </c>
      <c r="C6" s="76"/>
      <c r="D6" s="76"/>
      <c r="E6" s="76"/>
      <c r="F6" s="23">
        <f>F7+F15+F16+F19</f>
        <v>4275.2</v>
      </c>
      <c r="G6" s="23">
        <f>G7+G15+G16+G19</f>
        <v>115.29383397282322</v>
      </c>
      <c r="H6" s="24">
        <f>H7+H15+H16+H19</f>
        <v>1051.9503850000001</v>
      </c>
      <c r="I6" s="24">
        <f>H6/9125.33*1000</f>
        <v>115.27806501244339</v>
      </c>
      <c r="J6" s="24">
        <f>J7+J15+J16+J19</f>
        <v>64.818100000000001</v>
      </c>
      <c r="K6" s="24">
        <f>K7+K15+K16+K19</f>
        <v>115.28358255673331</v>
      </c>
      <c r="M6" s="10"/>
      <c r="N6" s="10"/>
    </row>
    <row r="7" spans="1:14" ht="30" customHeight="1" x14ac:dyDescent="0.3">
      <c r="A7" s="13" t="s">
        <v>8</v>
      </c>
      <c r="B7" s="76" t="s">
        <v>9</v>
      </c>
      <c r="C7" s="76"/>
      <c r="D7" s="76"/>
      <c r="E7" s="76"/>
      <c r="F7" s="23">
        <f t="shared" ref="F7:K7" si="0">F9+F13+F14</f>
        <v>2544.15</v>
      </c>
      <c r="G7" s="23">
        <f t="shared" si="0"/>
        <v>68.60383397282321</v>
      </c>
      <c r="H7" s="24">
        <f t="shared" si="0"/>
        <v>625.97</v>
      </c>
      <c r="I7" s="24">
        <f t="shared" si="0"/>
        <v>68.595962228215313</v>
      </c>
      <c r="J7" s="24">
        <f t="shared" si="0"/>
        <v>38.574939999999998</v>
      </c>
      <c r="K7" s="24">
        <f t="shared" si="0"/>
        <v>68.603564060610381</v>
      </c>
      <c r="M7" s="10"/>
    </row>
    <row r="8" spans="1:14" ht="30" customHeight="1" x14ac:dyDescent="0.3">
      <c r="A8" s="13" t="s">
        <v>10</v>
      </c>
      <c r="B8" s="76" t="s">
        <v>11</v>
      </c>
      <c r="C8" s="76"/>
      <c r="D8" s="76"/>
      <c r="E8" s="76"/>
      <c r="F8" s="23">
        <v>0</v>
      </c>
      <c r="G8" s="23">
        <v>0</v>
      </c>
      <c r="H8" s="24">
        <v>0</v>
      </c>
      <c r="I8" s="24">
        <v>0</v>
      </c>
      <c r="J8" s="24">
        <v>0</v>
      </c>
      <c r="K8" s="24">
        <v>0</v>
      </c>
      <c r="M8" s="10"/>
    </row>
    <row r="9" spans="1:14" ht="30" customHeight="1" x14ac:dyDescent="0.3">
      <c r="A9" s="13" t="s">
        <v>12</v>
      </c>
      <c r="B9" s="76" t="s">
        <v>13</v>
      </c>
      <c r="C9" s="76"/>
      <c r="D9" s="76"/>
      <c r="E9" s="76"/>
      <c r="F9" s="23">
        <v>2438.2600000000002</v>
      </c>
      <c r="G9" s="23">
        <f>F9/F42*1000</f>
        <v>65.753833972823202</v>
      </c>
      <c r="H9" s="24">
        <v>599.96</v>
      </c>
      <c r="I9" s="24">
        <f>H9/H42*1000</f>
        <v>65.746663408337014</v>
      </c>
      <c r="J9" s="24">
        <v>36.97</v>
      </c>
      <c r="K9" s="24">
        <f>J9/J42*1000</f>
        <v>65.750160062602262</v>
      </c>
      <c r="M9" s="10"/>
    </row>
    <row r="10" spans="1:14" ht="30" customHeight="1" x14ac:dyDescent="0.3">
      <c r="A10" s="13" t="s">
        <v>14</v>
      </c>
      <c r="B10" s="76" t="s">
        <v>15</v>
      </c>
      <c r="C10" s="76"/>
      <c r="D10" s="76"/>
      <c r="E10" s="76"/>
      <c r="F10" s="23">
        <v>0</v>
      </c>
      <c r="G10" s="23">
        <v>0</v>
      </c>
      <c r="H10" s="24">
        <v>0</v>
      </c>
      <c r="I10" s="24">
        <v>0</v>
      </c>
      <c r="J10" s="24">
        <v>0</v>
      </c>
      <c r="K10" s="24">
        <v>0</v>
      </c>
      <c r="M10" s="10"/>
    </row>
    <row r="11" spans="1:14" ht="30" customHeight="1" x14ac:dyDescent="0.3">
      <c r="A11" s="13" t="s">
        <v>16</v>
      </c>
      <c r="B11" s="76" t="s">
        <v>17</v>
      </c>
      <c r="C11" s="76"/>
      <c r="D11" s="76"/>
      <c r="E11" s="76"/>
      <c r="F11" s="23">
        <v>0</v>
      </c>
      <c r="G11" s="23">
        <v>0</v>
      </c>
      <c r="H11" s="24">
        <v>0</v>
      </c>
      <c r="I11" s="24">
        <v>0</v>
      </c>
      <c r="J11" s="24">
        <v>0</v>
      </c>
      <c r="K11" s="24">
        <v>0</v>
      </c>
      <c r="M11" s="10"/>
    </row>
    <row r="12" spans="1:14" ht="30" customHeight="1" x14ac:dyDescent="0.3">
      <c r="A12" s="13" t="s">
        <v>18</v>
      </c>
      <c r="B12" s="76" t="s">
        <v>19</v>
      </c>
      <c r="C12" s="76"/>
      <c r="D12" s="76"/>
      <c r="E12" s="76"/>
      <c r="F12" s="23">
        <v>0</v>
      </c>
      <c r="G12" s="23">
        <v>0</v>
      </c>
      <c r="H12" s="24">
        <v>0</v>
      </c>
      <c r="I12" s="24">
        <v>0</v>
      </c>
      <c r="J12" s="24">
        <v>0</v>
      </c>
      <c r="K12" s="24">
        <v>0</v>
      </c>
      <c r="M12" s="10"/>
    </row>
    <row r="13" spans="1:14" ht="30" customHeight="1" x14ac:dyDescent="0.3">
      <c r="A13" s="13" t="s">
        <v>85</v>
      </c>
      <c r="B13" s="76" t="s">
        <v>21</v>
      </c>
      <c r="C13" s="76"/>
      <c r="D13" s="76"/>
      <c r="E13" s="76"/>
      <c r="F13" s="23">
        <v>89.04</v>
      </c>
      <c r="G13" s="23">
        <v>2.4</v>
      </c>
      <c r="H13" s="24">
        <v>21.91</v>
      </c>
      <c r="I13" s="24">
        <v>2.4</v>
      </c>
      <c r="J13" s="24">
        <v>1.35</v>
      </c>
      <c r="K13" s="24">
        <v>2.4</v>
      </c>
      <c r="M13" s="10"/>
    </row>
    <row r="14" spans="1:14" ht="30" customHeight="1" x14ac:dyDescent="0.3">
      <c r="A14" s="13" t="s">
        <v>86</v>
      </c>
      <c r="B14" s="76" t="s">
        <v>23</v>
      </c>
      <c r="C14" s="76"/>
      <c r="D14" s="76"/>
      <c r="E14" s="76"/>
      <c r="F14" s="23">
        <f>16.85</f>
        <v>16.850000000000001</v>
      </c>
      <c r="G14" s="23">
        <v>0.45</v>
      </c>
      <c r="H14" s="24">
        <f>4.1</f>
        <v>4.0999999999999996</v>
      </c>
      <c r="I14" s="24">
        <f>H14/H42*1000</f>
        <v>0.44929881987829473</v>
      </c>
      <c r="J14" s="24">
        <f>L14*0.012</f>
        <v>0.25494</v>
      </c>
      <c r="K14" s="24">
        <f>J14/J42*1000</f>
        <v>0.45340399800810988</v>
      </c>
      <c r="L14">
        <v>21.245000000000001</v>
      </c>
      <c r="M14" s="10"/>
    </row>
    <row r="15" spans="1:14" ht="30" customHeight="1" x14ac:dyDescent="0.3">
      <c r="A15" s="13" t="s">
        <v>24</v>
      </c>
      <c r="B15" s="76" t="s">
        <v>25</v>
      </c>
      <c r="C15" s="76"/>
      <c r="D15" s="76"/>
      <c r="E15" s="76"/>
      <c r="F15" s="23">
        <v>365.52</v>
      </c>
      <c r="G15" s="23">
        <v>9.86</v>
      </c>
      <c r="H15" s="24">
        <v>89.95</v>
      </c>
      <c r="I15" s="24">
        <v>9.86</v>
      </c>
      <c r="J15" s="24">
        <v>5.54</v>
      </c>
      <c r="K15" s="24">
        <v>9.86</v>
      </c>
      <c r="M15" s="10"/>
    </row>
    <row r="16" spans="1:14" ht="30" customHeight="1" x14ac:dyDescent="0.3">
      <c r="A16" s="13" t="s">
        <v>26</v>
      </c>
      <c r="B16" s="76" t="s">
        <v>27</v>
      </c>
      <c r="C16" s="76"/>
      <c r="D16" s="76"/>
      <c r="E16" s="76"/>
      <c r="F16" s="23">
        <f>137.1</f>
        <v>137.1</v>
      </c>
      <c r="G16" s="23">
        <f t="shared" ref="G16:K16" si="1">G17+G18</f>
        <v>3.6999999999999997</v>
      </c>
      <c r="H16" s="24">
        <f>H17+H18</f>
        <v>33.731267000000003</v>
      </c>
      <c r="I16" s="24">
        <f t="shared" si="1"/>
        <v>3.6964435258779682</v>
      </c>
      <c r="J16" s="24">
        <f>J17+J18</f>
        <v>2.081</v>
      </c>
      <c r="K16" s="25">
        <f t="shared" si="1"/>
        <v>3.6910030589741769</v>
      </c>
      <c r="M16" s="10"/>
    </row>
    <row r="17" spans="1:13" ht="30" customHeight="1" x14ac:dyDescent="0.3">
      <c r="A17" s="13" t="s">
        <v>28</v>
      </c>
      <c r="B17" s="76" t="s">
        <v>29</v>
      </c>
      <c r="C17" s="76"/>
      <c r="D17" s="76"/>
      <c r="E17" s="76"/>
      <c r="F17" s="23">
        <f>112.39</f>
        <v>112.39</v>
      </c>
      <c r="G17" s="23">
        <v>3.03</v>
      </c>
      <c r="H17" s="24">
        <f>27.65</f>
        <v>27.65</v>
      </c>
      <c r="I17" s="24">
        <f>H17/H42*1000</f>
        <v>3.0300274072280122</v>
      </c>
      <c r="J17" s="24">
        <f>L17*0.012</f>
        <v>1.7010000000000001</v>
      </c>
      <c r="K17" s="24">
        <f>J17/J42*1000</f>
        <v>3.0251831827559226</v>
      </c>
      <c r="L17">
        <v>141.75</v>
      </c>
      <c r="M17" s="10"/>
    </row>
    <row r="18" spans="1:13" ht="30" customHeight="1" x14ac:dyDescent="0.3">
      <c r="A18" s="13" t="s">
        <v>30</v>
      </c>
      <c r="B18" s="76" t="s">
        <v>27</v>
      </c>
      <c r="C18" s="76"/>
      <c r="D18" s="76"/>
      <c r="E18" s="76"/>
      <c r="F18" s="23">
        <f>24.71</f>
        <v>24.71</v>
      </c>
      <c r="G18" s="23">
        <f>0.67</f>
        <v>0.67</v>
      </c>
      <c r="H18" s="24">
        <f>L18*H46</f>
        <v>6.0812670000000004</v>
      </c>
      <c r="I18" s="24">
        <f>H18/H42*1000</f>
        <v>0.66641611864995576</v>
      </c>
      <c r="J18" s="24">
        <f>0.38</f>
        <v>0.38</v>
      </c>
      <c r="K18" s="24">
        <f>J18/J42*1000-0.01</f>
        <v>0.66581987621825434</v>
      </c>
      <c r="L18">
        <v>31.17</v>
      </c>
      <c r="M18" s="10"/>
    </row>
    <row r="19" spans="1:13" ht="30" customHeight="1" x14ac:dyDescent="0.3">
      <c r="A19" s="13" t="s">
        <v>31</v>
      </c>
      <c r="B19" s="76" t="s">
        <v>32</v>
      </c>
      <c r="C19" s="76"/>
      <c r="D19" s="76"/>
      <c r="E19" s="76"/>
      <c r="F19" s="23">
        <f>F20+F21</f>
        <v>1228.4299999999998</v>
      </c>
      <c r="G19" s="23">
        <f>33.13</f>
        <v>33.130000000000003</v>
      </c>
      <c r="H19" s="24">
        <f>H20+H21</f>
        <v>302.29911799999996</v>
      </c>
      <c r="I19" s="24">
        <f>H19/H42*1000</f>
        <v>33.127472431133995</v>
      </c>
      <c r="J19" s="24">
        <f>J20+J21</f>
        <v>18.622160000000001</v>
      </c>
      <c r="K19" s="24">
        <f>J19/J42*1000+0.01</f>
        <v>33.129015437148752</v>
      </c>
      <c r="M19" s="10"/>
    </row>
    <row r="20" spans="1:13" ht="30" customHeight="1" x14ac:dyDescent="0.3">
      <c r="A20" s="13" t="s">
        <v>33</v>
      </c>
      <c r="B20" s="76" t="s">
        <v>34</v>
      </c>
      <c r="C20" s="76"/>
      <c r="D20" s="76"/>
      <c r="E20" s="76"/>
      <c r="F20" s="23">
        <v>1196.57</v>
      </c>
      <c r="G20" s="23">
        <v>32.270000000000003</v>
      </c>
      <c r="H20" s="24">
        <v>294.45999999999998</v>
      </c>
      <c r="I20" s="24">
        <v>32.270000000000003</v>
      </c>
      <c r="J20" s="24">
        <v>18.14</v>
      </c>
      <c r="K20" s="24">
        <v>32.270000000000003</v>
      </c>
      <c r="M20" s="10"/>
    </row>
    <row r="21" spans="1:13" ht="30" customHeight="1" x14ac:dyDescent="0.3">
      <c r="A21" s="13" t="s">
        <v>35</v>
      </c>
      <c r="B21" s="76" t="s">
        <v>36</v>
      </c>
      <c r="C21" s="76"/>
      <c r="D21" s="76"/>
      <c r="E21" s="76"/>
      <c r="F21" s="23">
        <f>31.86</f>
        <v>31.86</v>
      </c>
      <c r="G21" s="23">
        <f>F21/F42*1000</f>
        <v>0.85918530032652285</v>
      </c>
      <c r="H21" s="24">
        <f>L21*H46</f>
        <v>7.839118</v>
      </c>
      <c r="I21" s="24">
        <f>H21/H42*1000</f>
        <v>0.85905035763090209</v>
      </c>
      <c r="J21" s="24">
        <f>L21*J46</f>
        <v>0.48216000000000003</v>
      </c>
      <c r="K21" s="24">
        <f>J21/J42*1000</f>
        <v>0.85750871451945665</v>
      </c>
      <c r="L21">
        <v>40.18</v>
      </c>
      <c r="M21" s="10"/>
    </row>
    <row r="22" spans="1:13" ht="30" customHeight="1" x14ac:dyDescent="0.3">
      <c r="A22" s="13" t="s">
        <v>37</v>
      </c>
      <c r="B22" s="76" t="s">
        <v>38</v>
      </c>
      <c r="C22" s="76"/>
      <c r="D22" s="76"/>
      <c r="E22" s="76"/>
      <c r="F22" s="23">
        <f t="shared" ref="F22:K22" si="2">F23+F24</f>
        <v>665.63</v>
      </c>
      <c r="G22" s="23">
        <f t="shared" si="2"/>
        <v>17.95</v>
      </c>
      <c r="H22" s="24">
        <f>H23+H24</f>
        <v>163.80010559999999</v>
      </c>
      <c r="I22" s="24">
        <f>I23+I24</f>
        <v>17.95</v>
      </c>
      <c r="J22" s="24">
        <f>J23+J24</f>
        <v>10.09</v>
      </c>
      <c r="K22" s="24">
        <f t="shared" si="2"/>
        <v>17.95</v>
      </c>
      <c r="M22" s="10"/>
    </row>
    <row r="23" spans="1:13" ht="30" customHeight="1" x14ac:dyDescent="0.3">
      <c r="A23" s="13" t="s">
        <v>39</v>
      </c>
      <c r="B23" s="76" t="s">
        <v>34</v>
      </c>
      <c r="C23" s="76"/>
      <c r="D23" s="76"/>
      <c r="E23" s="76"/>
      <c r="F23" s="24">
        <v>653.76</v>
      </c>
      <c r="G23" s="23">
        <v>17.63</v>
      </c>
      <c r="H23" s="24">
        <v>160.88</v>
      </c>
      <c r="I23" s="24">
        <v>17.63</v>
      </c>
      <c r="J23" s="24">
        <v>9.91</v>
      </c>
      <c r="K23" s="24">
        <v>17.63</v>
      </c>
      <c r="M23" s="10"/>
    </row>
    <row r="24" spans="1:13" ht="30" customHeight="1" x14ac:dyDescent="0.3">
      <c r="A24" s="13" t="s">
        <v>40</v>
      </c>
      <c r="B24" s="76" t="s">
        <v>36</v>
      </c>
      <c r="C24" s="76"/>
      <c r="D24" s="76"/>
      <c r="E24" s="76"/>
      <c r="F24" s="23">
        <v>11.87</v>
      </c>
      <c r="G24" s="23">
        <f>0.32</f>
        <v>0.32</v>
      </c>
      <c r="H24" s="24">
        <f>I24*H42/1000</f>
        <v>2.9201055999999999</v>
      </c>
      <c r="I24" s="24">
        <f>0.32</f>
        <v>0.32</v>
      </c>
      <c r="J24" s="24">
        <f>0.18</f>
        <v>0.18</v>
      </c>
      <c r="K24" s="24">
        <f>0.32</f>
        <v>0.32</v>
      </c>
      <c r="L24">
        <v>14.308</v>
      </c>
      <c r="M24" s="10"/>
    </row>
    <row r="25" spans="1:13" ht="30" customHeight="1" x14ac:dyDescent="0.3">
      <c r="A25" s="13" t="s">
        <v>41</v>
      </c>
      <c r="B25" s="76" t="s">
        <v>42</v>
      </c>
      <c r="C25" s="76"/>
      <c r="D25" s="76"/>
      <c r="E25" s="76"/>
      <c r="F25" s="23">
        <v>0</v>
      </c>
      <c r="G25" s="23">
        <v>0</v>
      </c>
      <c r="H25" s="24">
        <v>0</v>
      </c>
      <c r="I25" s="24">
        <v>0</v>
      </c>
      <c r="J25" s="24">
        <v>0</v>
      </c>
      <c r="K25" s="24">
        <v>0</v>
      </c>
      <c r="M25" s="10"/>
    </row>
    <row r="26" spans="1:13" ht="30" customHeight="1" x14ac:dyDescent="0.3">
      <c r="A26" s="13" t="s">
        <v>43</v>
      </c>
      <c r="B26" s="76" t="s">
        <v>34</v>
      </c>
      <c r="C26" s="76"/>
      <c r="D26" s="76"/>
      <c r="E26" s="76"/>
      <c r="F26" s="23">
        <v>0</v>
      </c>
      <c r="G26" s="23">
        <v>0</v>
      </c>
      <c r="H26" s="24">
        <v>0</v>
      </c>
      <c r="I26" s="24">
        <v>0</v>
      </c>
      <c r="J26" s="24">
        <v>0</v>
      </c>
      <c r="K26" s="24">
        <v>0</v>
      </c>
      <c r="M26" s="10"/>
    </row>
    <row r="27" spans="1:13" ht="30" customHeight="1" x14ac:dyDescent="0.3">
      <c r="A27" s="13" t="s">
        <v>44</v>
      </c>
      <c r="B27" s="76" t="s">
        <v>36</v>
      </c>
      <c r="C27" s="76"/>
      <c r="D27" s="76"/>
      <c r="E27" s="76"/>
      <c r="F27" s="23">
        <v>0</v>
      </c>
      <c r="G27" s="23">
        <v>0</v>
      </c>
      <c r="H27" s="24">
        <v>0</v>
      </c>
      <c r="I27" s="24">
        <v>0</v>
      </c>
      <c r="J27" s="24">
        <v>0</v>
      </c>
      <c r="K27" s="24">
        <v>0</v>
      </c>
      <c r="M27" s="10"/>
    </row>
    <row r="28" spans="1:13" ht="30" customHeight="1" x14ac:dyDescent="0.3">
      <c r="A28" s="13" t="s">
        <v>45</v>
      </c>
      <c r="B28" s="76" t="s">
        <v>46</v>
      </c>
      <c r="C28" s="76"/>
      <c r="D28" s="76"/>
      <c r="E28" s="76"/>
      <c r="F28" s="23">
        <v>0</v>
      </c>
      <c r="G28" s="23">
        <v>0</v>
      </c>
      <c r="H28" s="24">
        <v>0</v>
      </c>
      <c r="I28" s="24">
        <v>0</v>
      </c>
      <c r="J28" s="24">
        <v>0</v>
      </c>
      <c r="K28" s="24">
        <v>0</v>
      </c>
      <c r="M28" s="10"/>
    </row>
    <row r="29" spans="1:13" ht="30" customHeight="1" x14ac:dyDescent="0.3">
      <c r="A29" s="13" t="s">
        <v>47</v>
      </c>
      <c r="B29" s="76" t="s">
        <v>48</v>
      </c>
      <c r="C29" s="76"/>
      <c r="D29" s="76"/>
      <c r="E29" s="76"/>
      <c r="F29" s="23">
        <f>F7+F15+F16+F19+F22</f>
        <v>4940.83</v>
      </c>
      <c r="G29" s="23">
        <f>G6+G22-0.01</f>
        <v>133.23383397282322</v>
      </c>
      <c r="H29" s="26">
        <f>H6+H22</f>
        <v>1215.7504906000001</v>
      </c>
      <c r="I29" s="24">
        <f>I6+I22</f>
        <v>133.22806501244338</v>
      </c>
      <c r="J29" s="24">
        <f>J6+J22</f>
        <v>74.908100000000005</v>
      </c>
      <c r="K29" s="24">
        <f>K6+K22</f>
        <v>133.2335825567333</v>
      </c>
      <c r="M29" s="10"/>
    </row>
    <row r="30" spans="1:13" ht="30" customHeight="1" x14ac:dyDescent="0.3">
      <c r="A30" s="13" t="s">
        <v>49</v>
      </c>
      <c r="B30" s="76" t="s">
        <v>50</v>
      </c>
      <c r="C30" s="76"/>
      <c r="D30" s="76"/>
      <c r="E30" s="76"/>
      <c r="F30" s="23">
        <v>0</v>
      </c>
      <c r="G30" s="23">
        <v>0</v>
      </c>
      <c r="H30" s="25">
        <v>0</v>
      </c>
      <c r="I30" s="24">
        <v>0</v>
      </c>
      <c r="J30" s="24">
        <v>0</v>
      </c>
      <c r="K30" s="24">
        <v>0</v>
      </c>
      <c r="M30" s="10"/>
    </row>
    <row r="31" spans="1:13" ht="30" customHeight="1" x14ac:dyDescent="0.3">
      <c r="A31" s="13" t="s">
        <v>51</v>
      </c>
      <c r="B31" s="76" t="s">
        <v>52</v>
      </c>
      <c r="C31" s="76"/>
      <c r="D31" s="76"/>
      <c r="E31" s="76"/>
      <c r="F31" s="23">
        <v>0</v>
      </c>
      <c r="G31" s="23">
        <v>0</v>
      </c>
      <c r="H31" s="24">
        <v>0</v>
      </c>
      <c r="I31" s="24">
        <v>0</v>
      </c>
      <c r="J31" s="24">
        <v>0</v>
      </c>
      <c r="K31" s="24">
        <v>0</v>
      </c>
      <c r="M31" s="10"/>
    </row>
    <row r="32" spans="1:13" ht="30" customHeight="1" x14ac:dyDescent="0.3">
      <c r="A32" s="13" t="s">
        <v>53</v>
      </c>
      <c r="B32" s="76" t="s">
        <v>54</v>
      </c>
      <c r="C32" s="76"/>
      <c r="D32" s="76"/>
      <c r="E32" s="76"/>
      <c r="F32" s="23">
        <v>0</v>
      </c>
      <c r="G32" s="23">
        <v>0</v>
      </c>
      <c r="H32" s="24">
        <v>0</v>
      </c>
      <c r="I32" s="24">
        <v>0</v>
      </c>
      <c r="J32" s="24">
        <v>0</v>
      </c>
      <c r="K32" s="24">
        <v>0</v>
      </c>
      <c r="M32" s="10"/>
    </row>
    <row r="33" spans="1:13" ht="30" customHeight="1" x14ac:dyDescent="0.3">
      <c r="A33" s="13" t="s">
        <v>55</v>
      </c>
      <c r="B33" s="76" t="s">
        <v>56</v>
      </c>
      <c r="C33" s="76"/>
      <c r="D33" s="76"/>
      <c r="E33" s="76"/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M33" s="10"/>
    </row>
    <row r="34" spans="1:13" ht="30" customHeight="1" x14ac:dyDescent="0.3">
      <c r="A34" s="13" t="s">
        <v>57</v>
      </c>
      <c r="B34" s="76" t="s">
        <v>58</v>
      </c>
      <c r="C34" s="76"/>
      <c r="D34" s="76"/>
      <c r="E34" s="76"/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M34" s="10"/>
    </row>
    <row r="35" spans="1:13" ht="30" customHeight="1" x14ac:dyDescent="0.3">
      <c r="A35" s="13" t="s">
        <v>59</v>
      </c>
      <c r="B35" s="76" t="s">
        <v>60</v>
      </c>
      <c r="C35" s="76"/>
      <c r="D35" s="76"/>
      <c r="E35" s="76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M35" s="10"/>
    </row>
    <row r="36" spans="1:13" ht="30" customHeight="1" x14ac:dyDescent="0.3">
      <c r="A36" s="13" t="s">
        <v>108</v>
      </c>
      <c r="B36" s="76" t="s">
        <v>62</v>
      </c>
      <c r="C36" s="76"/>
      <c r="D36" s="76"/>
      <c r="E36" s="76"/>
      <c r="F36" s="3">
        <f>F29</f>
        <v>4940.83</v>
      </c>
      <c r="G36" s="3">
        <f>G29</f>
        <v>133.23383397282322</v>
      </c>
      <c r="H36" s="3">
        <f>H29</f>
        <v>1215.7504906000001</v>
      </c>
      <c r="I36" s="3">
        <f>I29</f>
        <v>133.22806501244338</v>
      </c>
      <c r="J36" s="3">
        <f>J6+J22</f>
        <v>74.908100000000005</v>
      </c>
      <c r="K36" s="3">
        <f>J36/J42*1000</f>
        <v>133.22206018353847</v>
      </c>
      <c r="M36" s="10"/>
    </row>
    <row r="37" spans="1:13" ht="30" customHeight="1" x14ac:dyDescent="0.3">
      <c r="A37" s="13" t="s">
        <v>63</v>
      </c>
      <c r="B37" s="76" t="s">
        <v>64</v>
      </c>
      <c r="C37" s="76"/>
      <c r="D37" s="76"/>
      <c r="E37" s="76"/>
      <c r="F37" s="3">
        <v>0</v>
      </c>
      <c r="G37" s="3">
        <v>0</v>
      </c>
      <c r="H37" s="3"/>
      <c r="I37" s="3"/>
      <c r="J37" s="3"/>
      <c r="K37" s="3"/>
    </row>
    <row r="38" spans="1:13" ht="30" customHeight="1" x14ac:dyDescent="0.3">
      <c r="A38" s="13" t="s">
        <v>65</v>
      </c>
      <c r="B38" s="76" t="s">
        <v>66</v>
      </c>
      <c r="C38" s="76"/>
      <c r="D38" s="76"/>
      <c r="E38" s="76"/>
      <c r="F38" s="3">
        <v>0</v>
      </c>
      <c r="G38" s="3">
        <v>0</v>
      </c>
      <c r="H38" s="3"/>
      <c r="I38" s="3"/>
      <c r="J38" s="3"/>
      <c r="K38" s="3"/>
    </row>
    <row r="39" spans="1:13" ht="30" customHeight="1" x14ac:dyDescent="0.3">
      <c r="A39" s="13" t="s">
        <v>67</v>
      </c>
      <c r="B39" s="76" t="s">
        <v>68</v>
      </c>
      <c r="C39" s="76"/>
      <c r="D39" s="76"/>
      <c r="E39" s="76"/>
      <c r="F39" s="3">
        <v>0</v>
      </c>
      <c r="G39" s="3">
        <v>0</v>
      </c>
      <c r="H39" s="3"/>
      <c r="I39" s="3"/>
      <c r="J39" s="3"/>
      <c r="K39" s="3"/>
    </row>
    <row r="40" spans="1:13" ht="30" customHeight="1" x14ac:dyDescent="0.3">
      <c r="A40" s="13" t="s">
        <v>69</v>
      </c>
      <c r="B40" s="76" t="s">
        <v>70</v>
      </c>
      <c r="C40" s="76"/>
      <c r="D40" s="76"/>
      <c r="E40" s="76"/>
      <c r="F40" s="3">
        <v>0</v>
      </c>
      <c r="G40" s="3">
        <v>0</v>
      </c>
      <c r="H40" s="3"/>
      <c r="I40" s="3"/>
      <c r="J40" s="3"/>
      <c r="K40" s="3"/>
    </row>
    <row r="41" spans="1:13" ht="30" customHeight="1" x14ac:dyDescent="0.3">
      <c r="A41" s="13" t="s">
        <v>71</v>
      </c>
      <c r="B41" s="76" t="s">
        <v>72</v>
      </c>
      <c r="C41" s="76"/>
      <c r="D41" s="76"/>
      <c r="E41" s="76"/>
      <c r="F41" s="3"/>
      <c r="G41" s="3"/>
      <c r="H41" s="3"/>
      <c r="I41" s="3"/>
      <c r="J41" s="3"/>
      <c r="K41" s="3"/>
    </row>
    <row r="42" spans="1:13" ht="30" customHeight="1" x14ac:dyDescent="0.3">
      <c r="A42" s="13" t="s">
        <v>109</v>
      </c>
      <c r="B42" s="76" t="s">
        <v>74</v>
      </c>
      <c r="C42" s="76"/>
      <c r="D42" s="76"/>
      <c r="E42" s="76"/>
      <c r="F42" s="3">
        <v>37081.64</v>
      </c>
      <c r="G42" s="3"/>
      <c r="H42" s="3">
        <v>9125.33</v>
      </c>
      <c r="I42" s="3"/>
      <c r="J42" s="3">
        <v>562.28</v>
      </c>
      <c r="K42" s="3"/>
    </row>
    <row r="43" spans="1:13" ht="30" customHeight="1" x14ac:dyDescent="0.3">
      <c r="A43" s="13" t="s">
        <v>110</v>
      </c>
      <c r="B43" s="76" t="s">
        <v>83</v>
      </c>
      <c r="C43" s="76"/>
      <c r="D43" s="76"/>
      <c r="E43" s="76"/>
      <c r="F43" s="3">
        <v>0</v>
      </c>
      <c r="G43" s="3">
        <f>G29</f>
        <v>133.23383397282322</v>
      </c>
      <c r="H43" s="3">
        <v>0</v>
      </c>
      <c r="I43" s="3">
        <f>I29</f>
        <v>133.22806501244338</v>
      </c>
      <c r="J43" s="3">
        <v>0</v>
      </c>
      <c r="K43" s="3">
        <f>K29</f>
        <v>133.2335825567333</v>
      </c>
    </row>
    <row r="44" spans="1:13" ht="30" customHeight="1" x14ac:dyDescent="0.3">
      <c r="A44" s="13" t="s">
        <v>111</v>
      </c>
      <c r="B44" s="76" t="s">
        <v>78</v>
      </c>
      <c r="C44" s="76"/>
      <c r="D44" s="76"/>
      <c r="E44" s="76"/>
      <c r="F44" s="3"/>
      <c r="G44" s="3">
        <f>G29*1.2</f>
        <v>159.88060076738785</v>
      </c>
      <c r="H44" s="3"/>
      <c r="I44" s="3">
        <f>I43*1.2+0.01</f>
        <v>159.88367801493203</v>
      </c>
      <c r="J44" s="3"/>
      <c r="K44" s="3">
        <f>K43*1.2</f>
        <v>159.88029906807995</v>
      </c>
    </row>
    <row r="45" spans="1:13" hidden="1" x14ac:dyDescent="0.25">
      <c r="G45">
        <v>3</v>
      </c>
    </row>
    <row r="46" spans="1:13" hidden="1" x14ac:dyDescent="0.25">
      <c r="F46">
        <v>0.79290000000000005</v>
      </c>
      <c r="H46">
        <v>0.1951</v>
      </c>
      <c r="J46">
        <v>1.2E-2</v>
      </c>
    </row>
    <row r="47" spans="1:13" hidden="1" x14ac:dyDescent="0.25"/>
    <row r="49" spans="2:7" ht="33.75" customHeight="1" x14ac:dyDescent="0.3">
      <c r="B49" s="51" t="s">
        <v>125</v>
      </c>
      <c r="C49" s="51"/>
      <c r="D49" s="51"/>
      <c r="E49" s="51"/>
      <c r="F49" s="29"/>
      <c r="G49" s="51" t="s">
        <v>126</v>
      </c>
    </row>
    <row r="50" spans="2:7" ht="33.75" customHeight="1" x14ac:dyDescent="0.3">
      <c r="B50" s="51" t="s">
        <v>127</v>
      </c>
      <c r="C50" s="51"/>
      <c r="D50" s="51"/>
      <c r="E50" s="51"/>
      <c r="F50" s="29"/>
      <c r="G50" s="51" t="s">
        <v>128</v>
      </c>
    </row>
    <row r="51" spans="2:7" ht="33.75" customHeight="1" x14ac:dyDescent="0.3">
      <c r="B51" s="51" t="s">
        <v>129</v>
      </c>
      <c r="C51" s="51"/>
      <c r="D51" s="51"/>
      <c r="E51" s="51"/>
      <c r="F51" s="29"/>
      <c r="G51" s="51" t="s">
        <v>130</v>
      </c>
    </row>
  </sheetData>
  <mergeCells count="47">
    <mergeCell ref="I1:K1"/>
    <mergeCell ref="B8:E8"/>
    <mergeCell ref="B9:E9"/>
    <mergeCell ref="B10:E10"/>
    <mergeCell ref="B11:E11"/>
    <mergeCell ref="B6:E6"/>
    <mergeCell ref="B7:E7"/>
    <mergeCell ref="B5:E5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41:E41"/>
    <mergeCell ref="B30:E30"/>
    <mergeCell ref="B31:E31"/>
    <mergeCell ref="B32:E32"/>
    <mergeCell ref="B33:E33"/>
    <mergeCell ref="B34:E34"/>
    <mergeCell ref="B35:E35"/>
    <mergeCell ref="B42:E42"/>
    <mergeCell ref="B43:E43"/>
    <mergeCell ref="B44:E44"/>
    <mergeCell ref="B36:E36"/>
    <mergeCell ref="B37:E37"/>
    <mergeCell ref="B38:E38"/>
    <mergeCell ref="B39:E39"/>
    <mergeCell ref="B40:E40"/>
    <mergeCell ref="A3:A4"/>
    <mergeCell ref="A2:K2"/>
    <mergeCell ref="F3:G3"/>
    <mergeCell ref="H3:I3"/>
    <mergeCell ref="J3:K3"/>
    <mergeCell ref="B3:E4"/>
  </mergeCells>
  <pageMargins left="1.1811023622047245" right="0.39370078740157483" top="0.78740157480314965" bottom="0.78740157480314965" header="0.31496062992125984" footer="0.31496062992125984"/>
  <pageSetup paperSize="9" scale="39" orientation="portrait" r:id="rId1"/>
  <ignoredErrors>
    <ignoredError sqref="H21 J14 H17:H18 J17 J21 I19 H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55"/>
  <sheetViews>
    <sheetView topLeftCell="A20" zoomScale="89" zoomScaleNormal="89" workbookViewId="0">
      <selection activeCell="A3" sqref="A3:K54"/>
    </sheetView>
  </sheetViews>
  <sheetFormatPr defaultRowHeight="15" x14ac:dyDescent="0.25"/>
  <cols>
    <col min="1" max="1" width="7" customWidth="1"/>
    <col min="5" max="5" width="48.42578125" customWidth="1"/>
    <col min="6" max="6" width="18.7109375" customWidth="1"/>
    <col min="7" max="11" width="14.85546875" customWidth="1"/>
    <col min="12" max="12" width="9.140625" hidden="1" customWidth="1"/>
  </cols>
  <sheetData>
    <row r="2" spans="1:15" ht="59.25" customHeight="1" x14ac:dyDescent="0.25">
      <c r="I2" s="78"/>
      <c r="J2" s="78"/>
      <c r="K2" s="78"/>
    </row>
    <row r="3" spans="1:15" ht="58.5" customHeight="1" x14ac:dyDescent="0.25">
      <c r="A3" s="63" t="s">
        <v>132</v>
      </c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5" ht="18.75" customHeight="1" x14ac:dyDescent="0.25">
      <c r="A4" s="76" t="s">
        <v>0</v>
      </c>
      <c r="B4" s="76" t="s">
        <v>1</v>
      </c>
      <c r="C4" s="76"/>
      <c r="D4" s="76"/>
      <c r="E4" s="76"/>
      <c r="F4" s="77" t="s">
        <v>2</v>
      </c>
      <c r="G4" s="77"/>
      <c r="H4" s="77" t="s">
        <v>3</v>
      </c>
      <c r="I4" s="77"/>
      <c r="J4" s="77" t="s">
        <v>4</v>
      </c>
      <c r="K4" s="77"/>
    </row>
    <row r="5" spans="1:15" ht="48" customHeight="1" x14ac:dyDescent="0.25">
      <c r="A5" s="76"/>
      <c r="B5" s="76"/>
      <c r="C5" s="76"/>
      <c r="D5" s="76"/>
      <c r="E5" s="76"/>
      <c r="F5" s="2" t="s">
        <v>5</v>
      </c>
      <c r="G5" s="2" t="s">
        <v>6</v>
      </c>
      <c r="H5" s="2" t="s">
        <v>5</v>
      </c>
      <c r="I5" s="2" t="s">
        <v>6</v>
      </c>
      <c r="J5" s="2" t="s">
        <v>5</v>
      </c>
      <c r="K5" s="2" t="s">
        <v>6</v>
      </c>
    </row>
    <row r="6" spans="1:15" ht="18.75" x14ac:dyDescent="0.3">
      <c r="A6" s="7">
        <v>1</v>
      </c>
      <c r="B6" s="79">
        <v>2</v>
      </c>
      <c r="C6" s="79"/>
      <c r="D6" s="79"/>
      <c r="E6" s="79"/>
      <c r="F6" s="27"/>
      <c r="G6" s="27"/>
      <c r="H6" s="27"/>
      <c r="I6" s="27"/>
      <c r="J6" s="27"/>
      <c r="K6" s="27"/>
    </row>
    <row r="7" spans="1:15" ht="26.25" customHeight="1" x14ac:dyDescent="0.3">
      <c r="A7" s="6">
        <v>1</v>
      </c>
      <c r="B7" s="76" t="s">
        <v>7</v>
      </c>
      <c r="C7" s="76"/>
      <c r="D7" s="76"/>
      <c r="E7" s="76"/>
      <c r="F7" s="24">
        <f>F8+F16+F17+F20</f>
        <v>742.00335000000007</v>
      </c>
      <c r="G7" s="24">
        <f>G8+G16+G17+G20</f>
        <v>20.005026789537894</v>
      </c>
      <c r="H7" s="24">
        <v>182.59</v>
      </c>
      <c r="I7" s="24">
        <f>20.01</f>
        <v>20.010000000000002</v>
      </c>
      <c r="J7" s="24">
        <f>J8+J16+J17+J20</f>
        <v>11.252741199999999</v>
      </c>
      <c r="K7" s="24">
        <f>20.01</f>
        <v>20.010000000000002</v>
      </c>
    </row>
    <row r="8" spans="1:15" ht="26.25" customHeight="1" x14ac:dyDescent="0.3">
      <c r="A8" s="13" t="s">
        <v>8</v>
      </c>
      <c r="B8" s="76" t="s">
        <v>9</v>
      </c>
      <c r="C8" s="76"/>
      <c r="D8" s="76"/>
      <c r="E8" s="76"/>
      <c r="F8" s="24">
        <f>10.75</f>
        <v>10.75</v>
      </c>
      <c r="G8" s="24">
        <f>G15</f>
        <v>0.28999999999999998</v>
      </c>
      <c r="H8" s="24">
        <f>I8*H43/1000</f>
        <v>2.6463456999999999</v>
      </c>
      <c r="I8" s="24">
        <f>I15</f>
        <v>0.28999999999999998</v>
      </c>
      <c r="J8" s="24">
        <f>K8*J43/1000</f>
        <v>0.16306119999999999</v>
      </c>
      <c r="K8" s="24">
        <f>K15</f>
        <v>0.28999999999999998</v>
      </c>
    </row>
    <row r="9" spans="1:15" ht="26.25" customHeight="1" x14ac:dyDescent="0.3">
      <c r="A9" s="13" t="s">
        <v>10</v>
      </c>
      <c r="B9" s="76" t="s">
        <v>11</v>
      </c>
      <c r="C9" s="76"/>
      <c r="D9" s="76"/>
      <c r="E9" s="76"/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5" ht="26.25" customHeight="1" x14ac:dyDescent="0.3">
      <c r="A10" s="13" t="s">
        <v>12</v>
      </c>
      <c r="B10" s="76" t="s">
        <v>13</v>
      </c>
      <c r="C10" s="76"/>
      <c r="D10" s="76"/>
      <c r="E10" s="76"/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5" ht="26.25" customHeight="1" x14ac:dyDescent="0.3">
      <c r="A11" s="13" t="s">
        <v>14</v>
      </c>
      <c r="B11" s="76" t="s">
        <v>15</v>
      </c>
      <c r="C11" s="76"/>
      <c r="D11" s="76"/>
      <c r="E11" s="76"/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5" ht="26.25" customHeight="1" x14ac:dyDescent="0.3">
      <c r="A12" s="13" t="s">
        <v>16</v>
      </c>
      <c r="B12" s="76" t="s">
        <v>17</v>
      </c>
      <c r="C12" s="76"/>
      <c r="D12" s="76"/>
      <c r="E12" s="76"/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5" ht="26.25" customHeight="1" x14ac:dyDescent="0.3">
      <c r="A13" s="13" t="s">
        <v>18</v>
      </c>
      <c r="B13" s="76" t="s">
        <v>19</v>
      </c>
      <c r="C13" s="76"/>
      <c r="D13" s="76"/>
      <c r="E13" s="76"/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</row>
    <row r="14" spans="1:15" ht="26.25" customHeight="1" x14ac:dyDescent="0.3">
      <c r="A14" s="13" t="s">
        <v>85</v>
      </c>
      <c r="B14" s="76" t="s">
        <v>21</v>
      </c>
      <c r="C14" s="76"/>
      <c r="D14" s="76"/>
      <c r="E14" s="76"/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O14">
        <v>3.4</v>
      </c>
    </row>
    <row r="15" spans="1:15" ht="26.25" customHeight="1" x14ac:dyDescent="0.3">
      <c r="A15" s="13" t="s">
        <v>86</v>
      </c>
      <c r="B15" s="76" t="s">
        <v>23</v>
      </c>
      <c r="C15" s="76"/>
      <c r="D15" s="76"/>
      <c r="E15" s="76"/>
      <c r="F15" s="24">
        <f>F8</f>
        <v>10.75</v>
      </c>
      <c r="G15" s="24">
        <v>0.28999999999999998</v>
      </c>
      <c r="H15" s="24">
        <f>H8</f>
        <v>2.6463456999999999</v>
      </c>
      <c r="I15" s="24">
        <v>0.28999999999999998</v>
      </c>
      <c r="J15" s="24">
        <f>J8</f>
        <v>0.16306119999999999</v>
      </c>
      <c r="K15" s="24">
        <v>0.28999999999999998</v>
      </c>
    </row>
    <row r="16" spans="1:15" ht="26.25" customHeight="1" x14ac:dyDescent="0.3">
      <c r="A16" s="13" t="s">
        <v>24</v>
      </c>
      <c r="B16" s="76" t="s">
        <v>25</v>
      </c>
      <c r="C16" s="76"/>
      <c r="D16" s="76"/>
      <c r="E16" s="76"/>
      <c r="F16" s="24">
        <v>554.97</v>
      </c>
      <c r="G16" s="24">
        <v>14.96</v>
      </c>
      <c r="H16" s="24">
        <v>13.56</v>
      </c>
      <c r="I16" s="24">
        <v>14.96</v>
      </c>
      <c r="J16" s="24">
        <v>8.42</v>
      </c>
      <c r="K16" s="24">
        <v>14.96</v>
      </c>
    </row>
    <row r="17" spans="1:12" ht="26.25" customHeight="1" x14ac:dyDescent="0.3">
      <c r="A17" s="13" t="s">
        <v>26</v>
      </c>
      <c r="B17" s="76" t="s">
        <v>27</v>
      </c>
      <c r="C17" s="76"/>
      <c r="D17" s="76"/>
      <c r="E17" s="76"/>
      <c r="F17" s="24">
        <f t="shared" ref="F17:K17" si="0">F18+F19</f>
        <v>9.229356000000001</v>
      </c>
      <c r="G17" s="24">
        <f t="shared" si="0"/>
        <v>0.24889287528814802</v>
      </c>
      <c r="H17" s="24">
        <f t="shared" si="0"/>
        <v>2.2709639999999998</v>
      </c>
      <c r="I17" s="24">
        <f t="shared" si="0"/>
        <v>0.24886376711855898</v>
      </c>
      <c r="J17" s="24">
        <f t="shared" si="0"/>
        <v>0.13968</v>
      </c>
      <c r="K17" s="24">
        <f t="shared" si="0"/>
        <v>0.24841715871096254</v>
      </c>
    </row>
    <row r="18" spans="1:12" ht="26.25" customHeight="1" x14ac:dyDescent="0.3">
      <c r="A18" s="13" t="s">
        <v>28</v>
      </c>
      <c r="B18" s="76" t="s">
        <v>29</v>
      </c>
      <c r="C18" s="76"/>
      <c r="D18" s="76"/>
      <c r="E18" s="76"/>
      <c r="F18" s="24">
        <f>L18*F47</f>
        <v>7.0171650000000003</v>
      </c>
      <c r="G18" s="24">
        <f>F18/F43*1000</f>
        <v>0.18923556239691666</v>
      </c>
      <c r="H18" s="24">
        <f>L18*H47</f>
        <v>1.7266349999999999</v>
      </c>
      <c r="I18" s="24">
        <f>H18/H43*1000</f>
        <v>0.18921343118550232</v>
      </c>
      <c r="J18" s="24">
        <f>L18*J47</f>
        <v>0.1062</v>
      </c>
      <c r="K18" s="24">
        <f>J18/J43*1000</f>
        <v>0.18887387066941738</v>
      </c>
      <c r="L18">
        <f>8.85</f>
        <v>8.85</v>
      </c>
    </row>
    <row r="19" spans="1:12" ht="26.25" customHeight="1" x14ac:dyDescent="0.3">
      <c r="A19" s="13" t="s">
        <v>30</v>
      </c>
      <c r="B19" s="76" t="s">
        <v>27</v>
      </c>
      <c r="C19" s="76"/>
      <c r="D19" s="76"/>
      <c r="E19" s="76"/>
      <c r="F19" s="24">
        <f>L19*F47</f>
        <v>2.2121910000000002</v>
      </c>
      <c r="G19" s="24">
        <f>F19/F43*1000</f>
        <v>5.9657312891231357E-2</v>
      </c>
      <c r="H19" s="24">
        <f>L19*H47</f>
        <v>0.54432899999999995</v>
      </c>
      <c r="I19" s="24">
        <f>H19/H43*1000</f>
        <v>5.9650335933056658E-2</v>
      </c>
      <c r="J19" s="24">
        <f>L19*J47</f>
        <v>3.3480000000000003E-2</v>
      </c>
      <c r="K19" s="24">
        <f>J19/J43*1000</f>
        <v>5.9543288041545149E-2</v>
      </c>
      <c r="L19">
        <f>2.79</f>
        <v>2.79</v>
      </c>
    </row>
    <row r="20" spans="1:12" ht="26.25" customHeight="1" x14ac:dyDescent="0.3">
      <c r="A20" s="13" t="s">
        <v>31</v>
      </c>
      <c r="B20" s="76" t="s">
        <v>32</v>
      </c>
      <c r="C20" s="76"/>
      <c r="D20" s="76"/>
      <c r="E20" s="76"/>
      <c r="F20" s="24">
        <f t="shared" ref="F20:K20" si="1">F21+F22</f>
        <v>167.05399399999999</v>
      </c>
      <c r="G20" s="24">
        <f t="shared" si="1"/>
        <v>4.5061339142497472</v>
      </c>
      <c r="H20" s="24">
        <f t="shared" si="1"/>
        <v>41.107686000000001</v>
      </c>
      <c r="I20" s="24">
        <f t="shared" si="1"/>
        <v>4.5060092292552705</v>
      </c>
      <c r="J20" s="24">
        <v>2.5299999999999998</v>
      </c>
      <c r="K20" s="24">
        <f t="shared" si="1"/>
        <v>4.51</v>
      </c>
    </row>
    <row r="21" spans="1:12" ht="26.25" customHeight="1" x14ac:dyDescent="0.3">
      <c r="A21" s="13" t="s">
        <v>33</v>
      </c>
      <c r="B21" s="76" t="s">
        <v>34</v>
      </c>
      <c r="C21" s="76"/>
      <c r="D21" s="76"/>
      <c r="E21" s="76"/>
      <c r="F21" s="24">
        <f>127.52</f>
        <v>127.52</v>
      </c>
      <c r="G21" s="24">
        <v>3.44</v>
      </c>
      <c r="H21" s="24">
        <v>31.38</v>
      </c>
      <c r="I21" s="24">
        <v>3.44</v>
      </c>
      <c r="J21" s="24">
        <v>1.9325879156574244</v>
      </c>
      <c r="K21" s="24">
        <v>3.44</v>
      </c>
    </row>
    <row r="22" spans="1:12" ht="26.25" customHeight="1" x14ac:dyDescent="0.3">
      <c r="A22" s="13" t="s">
        <v>35</v>
      </c>
      <c r="B22" s="76" t="s">
        <v>36</v>
      </c>
      <c r="C22" s="76"/>
      <c r="D22" s="76"/>
      <c r="E22" s="76"/>
      <c r="F22" s="24">
        <f>L22*F47</f>
        <v>39.533994</v>
      </c>
      <c r="G22" s="24">
        <f>F22/F43*1000</f>
        <v>1.0661339142497472</v>
      </c>
      <c r="H22" s="24">
        <f>L22*H47</f>
        <v>9.7276860000000003</v>
      </c>
      <c r="I22" s="24">
        <f>H22/H43*1000</f>
        <v>1.0660092292552708</v>
      </c>
      <c r="J22" s="24">
        <f>L22*J47</f>
        <v>0.59831999999999996</v>
      </c>
      <c r="K22" s="24">
        <v>1.07</v>
      </c>
      <c r="L22">
        <f>49.86</f>
        <v>49.86</v>
      </c>
    </row>
    <row r="23" spans="1:12" ht="26.25" customHeight="1" x14ac:dyDescent="0.3">
      <c r="A23" s="13" t="s">
        <v>37</v>
      </c>
      <c r="B23" s="76" t="s">
        <v>38</v>
      </c>
      <c r="C23" s="76"/>
      <c r="D23" s="76"/>
      <c r="E23" s="76"/>
      <c r="F23" s="24">
        <f>F24+F25</f>
        <v>71.524082000000007</v>
      </c>
      <c r="G23" s="24">
        <f>F23/F43*1000</f>
        <v>1.9288273657799389</v>
      </c>
      <c r="H23" s="24">
        <f>H24+H25</f>
        <v>17.600000000000001</v>
      </c>
      <c r="I23" s="24">
        <f>H23/H43*1000</f>
        <v>1.928697373136095</v>
      </c>
      <c r="J23" s="24">
        <f>J24+J25</f>
        <v>1.0900000000000001</v>
      </c>
      <c r="K23" s="24">
        <f>K24+K25</f>
        <v>1.93</v>
      </c>
    </row>
    <row r="24" spans="1:12" ht="26.25" customHeight="1" x14ac:dyDescent="0.3">
      <c r="A24" s="13" t="s">
        <v>39</v>
      </c>
      <c r="B24" s="76" t="s">
        <v>34</v>
      </c>
      <c r="C24" s="76"/>
      <c r="D24" s="76"/>
      <c r="E24" s="76"/>
      <c r="F24" s="24">
        <v>69.67</v>
      </c>
      <c r="G24" s="24">
        <v>1.88</v>
      </c>
      <c r="H24" s="24">
        <v>17.14</v>
      </c>
      <c r="I24" s="24">
        <v>1.88</v>
      </c>
      <c r="J24" s="24">
        <v>1.06</v>
      </c>
      <c r="K24" s="24">
        <v>1.88</v>
      </c>
    </row>
    <row r="25" spans="1:12" ht="26.25" customHeight="1" x14ac:dyDescent="0.3">
      <c r="A25" s="13" t="s">
        <v>40</v>
      </c>
      <c r="B25" s="76" t="s">
        <v>36</v>
      </c>
      <c r="C25" s="76"/>
      <c r="D25" s="76"/>
      <c r="E25" s="76"/>
      <c r="F25" s="24">
        <f>G25*F43/1000</f>
        <v>1.854082</v>
      </c>
      <c r="G25" s="24">
        <v>0.05</v>
      </c>
      <c r="H25" s="24">
        <f>0.46</f>
        <v>0.46</v>
      </c>
      <c r="I25" s="24">
        <f>0.05</f>
        <v>0.05</v>
      </c>
      <c r="J25" s="24">
        <f>0.03</f>
        <v>0.03</v>
      </c>
      <c r="K25" s="24">
        <v>0.05</v>
      </c>
      <c r="L25">
        <f>16.26</f>
        <v>16.260000000000002</v>
      </c>
    </row>
    <row r="26" spans="1:12" ht="26.25" customHeight="1" x14ac:dyDescent="0.3">
      <c r="A26" s="13" t="s">
        <v>41</v>
      </c>
      <c r="B26" s="76" t="s">
        <v>42</v>
      </c>
      <c r="C26" s="76"/>
      <c r="D26" s="76"/>
      <c r="E26" s="76"/>
      <c r="F26" s="24">
        <f t="shared" ref="F26:K26" si="2">F27+F28</f>
        <v>749.01</v>
      </c>
      <c r="G26" s="24">
        <f t="shared" si="2"/>
        <v>20.200000000000003</v>
      </c>
      <c r="H26" s="24">
        <f t="shared" si="2"/>
        <v>184.31</v>
      </c>
      <c r="I26" s="24">
        <f t="shared" si="2"/>
        <v>20.199092133678295</v>
      </c>
      <c r="J26" s="24">
        <f t="shared" si="2"/>
        <v>11.355769779127199</v>
      </c>
      <c r="K26" s="24">
        <f t="shared" si="2"/>
        <v>20.199092133678292</v>
      </c>
    </row>
    <row r="27" spans="1:12" ht="26.25" customHeight="1" x14ac:dyDescent="0.3">
      <c r="A27" s="13" t="s">
        <v>43</v>
      </c>
      <c r="B27" s="76" t="s">
        <v>34</v>
      </c>
      <c r="C27" s="76"/>
      <c r="D27" s="76"/>
      <c r="E27" s="76"/>
      <c r="F27" s="24">
        <v>739.37</v>
      </c>
      <c r="G27" s="24">
        <v>19.940000000000001</v>
      </c>
      <c r="H27" s="24">
        <v>181.94</v>
      </c>
      <c r="I27" s="24">
        <v>19.939092133678294</v>
      </c>
      <c r="J27" s="24">
        <v>11.205769779127198</v>
      </c>
      <c r="K27" s="24">
        <v>19.93909213367829</v>
      </c>
    </row>
    <row r="28" spans="1:12" ht="26.25" customHeight="1" x14ac:dyDescent="0.3">
      <c r="A28" s="13" t="s">
        <v>44</v>
      </c>
      <c r="B28" s="76" t="s">
        <v>36</v>
      </c>
      <c r="C28" s="76"/>
      <c r="D28" s="76"/>
      <c r="E28" s="76"/>
      <c r="F28" s="24">
        <v>9.64</v>
      </c>
      <c r="G28" s="24">
        <v>0.26</v>
      </c>
      <c r="H28" s="24">
        <f>2.37</f>
        <v>2.37</v>
      </c>
      <c r="I28" s="24">
        <v>0.26</v>
      </c>
      <c r="J28" s="24">
        <f>0.15</f>
        <v>0.15</v>
      </c>
      <c r="K28" s="24">
        <v>0.26</v>
      </c>
      <c r="L28">
        <f>13.04*1</f>
        <v>13.04</v>
      </c>
    </row>
    <row r="29" spans="1:12" ht="26.25" customHeight="1" x14ac:dyDescent="0.3">
      <c r="A29" s="13" t="s">
        <v>45</v>
      </c>
      <c r="B29" s="76" t="s">
        <v>46</v>
      </c>
      <c r="C29" s="76"/>
      <c r="D29" s="76"/>
      <c r="E29" s="76"/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2" ht="26.25" customHeight="1" x14ac:dyDescent="0.3">
      <c r="A30" s="13" t="s">
        <v>47</v>
      </c>
      <c r="B30" s="76" t="s">
        <v>48</v>
      </c>
      <c r="C30" s="76"/>
      <c r="D30" s="76"/>
      <c r="E30" s="76"/>
      <c r="F30" s="24">
        <v>1563.53</v>
      </c>
      <c r="G30" s="24">
        <v>42.14</v>
      </c>
      <c r="H30" s="24">
        <f>H7+H23+H26</f>
        <v>384.5</v>
      </c>
      <c r="I30" s="24">
        <f>42.14</f>
        <v>42.14</v>
      </c>
      <c r="J30" s="24">
        <v>23.69</v>
      </c>
      <c r="K30" s="24">
        <f>K7+K23+K26</f>
        <v>42.13909213367829</v>
      </c>
    </row>
    <row r="31" spans="1:12" ht="26.25" customHeight="1" x14ac:dyDescent="0.3">
      <c r="A31" s="13" t="s">
        <v>49</v>
      </c>
      <c r="B31" s="76" t="s">
        <v>50</v>
      </c>
      <c r="C31" s="76"/>
      <c r="D31" s="76"/>
      <c r="E31" s="76"/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</row>
    <row r="32" spans="1:12" ht="26.25" customHeight="1" x14ac:dyDescent="0.3">
      <c r="A32" s="13" t="s">
        <v>51</v>
      </c>
      <c r="B32" s="76" t="s">
        <v>52</v>
      </c>
      <c r="C32" s="76"/>
      <c r="D32" s="76"/>
      <c r="E32" s="76"/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26.25" customHeight="1" x14ac:dyDescent="0.3">
      <c r="A33" s="13" t="s">
        <v>53</v>
      </c>
      <c r="B33" s="76" t="s">
        <v>54</v>
      </c>
      <c r="C33" s="76"/>
      <c r="D33" s="76"/>
      <c r="E33" s="76"/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26.25" customHeight="1" x14ac:dyDescent="0.3">
      <c r="A34" s="13" t="s">
        <v>55</v>
      </c>
      <c r="B34" s="76" t="s">
        <v>56</v>
      </c>
      <c r="C34" s="76"/>
      <c r="D34" s="76"/>
      <c r="E34" s="76"/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26.25" customHeight="1" x14ac:dyDescent="0.3">
      <c r="A35" s="13" t="s">
        <v>57</v>
      </c>
      <c r="B35" s="76" t="s">
        <v>58</v>
      </c>
      <c r="C35" s="76"/>
      <c r="D35" s="76"/>
      <c r="E35" s="76"/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26.25" customHeight="1" x14ac:dyDescent="0.3">
      <c r="A36" s="13" t="s">
        <v>59</v>
      </c>
      <c r="B36" s="76" t="s">
        <v>60</v>
      </c>
      <c r="C36" s="76"/>
      <c r="D36" s="76"/>
      <c r="E36" s="76"/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26.25" customHeight="1" x14ac:dyDescent="0.3">
      <c r="A37" s="13" t="s">
        <v>61</v>
      </c>
      <c r="B37" s="76" t="s">
        <v>62</v>
      </c>
      <c r="C37" s="76"/>
      <c r="D37" s="76"/>
      <c r="E37" s="76"/>
      <c r="F37" s="3">
        <f>F7+F23+F26</f>
        <v>1562.5374320000001</v>
      </c>
      <c r="G37" s="3">
        <f>G30</f>
        <v>42.14</v>
      </c>
      <c r="H37" s="3">
        <f>H30</f>
        <v>384.5</v>
      </c>
      <c r="I37" s="3">
        <f>I30</f>
        <v>42.14</v>
      </c>
      <c r="J37" s="3">
        <f>J30</f>
        <v>23.69</v>
      </c>
      <c r="K37" s="3">
        <f>K30</f>
        <v>42.13909213367829</v>
      </c>
    </row>
    <row r="38" spans="1:11" ht="26.25" customHeight="1" x14ac:dyDescent="0.3">
      <c r="A38" s="13" t="s">
        <v>63</v>
      </c>
      <c r="B38" s="76" t="s">
        <v>64</v>
      </c>
      <c r="C38" s="76"/>
      <c r="D38" s="76"/>
      <c r="E38" s="76"/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26.25" customHeight="1" x14ac:dyDescent="0.3">
      <c r="A39" s="13" t="s">
        <v>65</v>
      </c>
      <c r="B39" s="76" t="s">
        <v>66</v>
      </c>
      <c r="C39" s="76"/>
      <c r="D39" s="76"/>
      <c r="E39" s="76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26.25" customHeight="1" x14ac:dyDescent="0.3">
      <c r="A40" s="13" t="s">
        <v>67</v>
      </c>
      <c r="B40" s="76" t="s">
        <v>68</v>
      </c>
      <c r="C40" s="76"/>
      <c r="D40" s="76"/>
      <c r="E40" s="76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26.25" customHeight="1" x14ac:dyDescent="0.3">
      <c r="A41" s="13" t="s">
        <v>69</v>
      </c>
      <c r="B41" s="76" t="s">
        <v>70</v>
      </c>
      <c r="C41" s="76"/>
      <c r="D41" s="76"/>
      <c r="E41" s="76"/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ht="26.25" customHeight="1" x14ac:dyDescent="0.3">
      <c r="A42" s="13" t="s">
        <v>71</v>
      </c>
      <c r="B42" s="76" t="s">
        <v>72</v>
      </c>
      <c r="C42" s="76"/>
      <c r="D42" s="76"/>
      <c r="E42" s="76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26.25" customHeight="1" x14ac:dyDescent="0.3">
      <c r="A43" s="13" t="s">
        <v>73</v>
      </c>
      <c r="B43" s="76" t="s">
        <v>74</v>
      </c>
      <c r="C43" s="76"/>
      <c r="D43" s="76"/>
      <c r="E43" s="76"/>
      <c r="F43" s="3">
        <v>37081.64</v>
      </c>
      <c r="G43" s="3"/>
      <c r="H43" s="3">
        <v>9125.33</v>
      </c>
      <c r="I43" s="3"/>
      <c r="J43" s="3">
        <v>562.28</v>
      </c>
      <c r="K43" s="3"/>
    </row>
    <row r="44" spans="1:11" ht="26.25" customHeight="1" x14ac:dyDescent="0.3">
      <c r="A44" s="13" t="s">
        <v>75</v>
      </c>
      <c r="B44" s="76" t="s">
        <v>76</v>
      </c>
      <c r="C44" s="76"/>
      <c r="D44" s="76"/>
      <c r="E44" s="76"/>
      <c r="F44" s="3">
        <v>0</v>
      </c>
      <c r="G44" s="3">
        <f>G37</f>
        <v>42.14</v>
      </c>
      <c r="H44" s="3">
        <v>0</v>
      </c>
      <c r="I44" s="3">
        <f>I37</f>
        <v>42.14</v>
      </c>
      <c r="J44" s="3">
        <v>0</v>
      </c>
      <c r="K44" s="3">
        <f>K37</f>
        <v>42.13909213367829</v>
      </c>
    </row>
    <row r="45" spans="1:11" ht="26.25" customHeight="1" x14ac:dyDescent="0.3">
      <c r="A45" s="13" t="s">
        <v>77</v>
      </c>
      <c r="B45" s="76" t="s">
        <v>78</v>
      </c>
      <c r="C45" s="76"/>
      <c r="D45" s="76"/>
      <c r="E45" s="76"/>
      <c r="F45" s="3"/>
      <c r="G45" s="3">
        <f>G37*1.2</f>
        <v>50.567999999999998</v>
      </c>
      <c r="H45" s="3"/>
      <c r="I45" s="3">
        <f>I37*1.2</f>
        <v>50.567999999999998</v>
      </c>
      <c r="J45" s="3"/>
      <c r="K45" s="3">
        <f>K37*1.2</f>
        <v>50.566910560413945</v>
      </c>
    </row>
    <row r="46" spans="1:11" hidden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.75" hidden="1" x14ac:dyDescent="0.25">
      <c r="A47" s="4"/>
      <c r="B47" s="80"/>
      <c r="C47" s="80"/>
      <c r="D47" s="80"/>
      <c r="E47" s="80"/>
      <c r="F47" s="5">
        <v>0.79290000000000005</v>
      </c>
      <c r="G47" s="5"/>
      <c r="H47" s="5">
        <v>0.1951</v>
      </c>
      <c r="I47" s="5"/>
      <c r="J47" s="5">
        <v>1.2E-2</v>
      </c>
      <c r="K47" s="5"/>
    </row>
    <row r="48" spans="1:11" ht="15.75" hidden="1" x14ac:dyDescent="0.25">
      <c r="A48" s="4"/>
      <c r="B48" s="4"/>
      <c r="C48" s="4"/>
      <c r="D48" s="4"/>
      <c r="E48" s="4"/>
      <c r="F48" s="5"/>
      <c r="G48" s="5"/>
      <c r="H48" s="5"/>
      <c r="I48" s="5"/>
      <c r="J48" s="5"/>
      <c r="K48" s="5"/>
    </row>
    <row r="49" spans="1:11" ht="15.75" hidden="1" x14ac:dyDescent="0.25">
      <c r="A49" s="4"/>
      <c r="B49" s="4"/>
      <c r="C49" s="4"/>
      <c r="D49" s="4"/>
      <c r="E49" s="4"/>
      <c r="F49" s="5"/>
      <c r="G49" s="5"/>
      <c r="H49" s="5"/>
      <c r="I49" s="5"/>
      <c r="J49" s="5"/>
      <c r="K49" s="5"/>
    </row>
    <row r="50" spans="1:11" ht="15.75" hidden="1" x14ac:dyDescent="0.25">
      <c r="A50" s="4"/>
      <c r="B50" s="4"/>
      <c r="C50" s="4"/>
      <c r="D50" s="4"/>
      <c r="E50" s="4"/>
      <c r="F50" s="5"/>
      <c r="G50" s="5"/>
      <c r="H50" s="5"/>
      <c r="I50" s="5"/>
      <c r="J50" s="5"/>
      <c r="K50" s="5"/>
    </row>
    <row r="51" spans="1:11" s="29" customFormat="1" ht="15.75" x14ac:dyDescent="0.25">
      <c r="A51" s="50"/>
      <c r="B51" s="50"/>
      <c r="C51" s="50"/>
      <c r="D51" s="50"/>
      <c r="E51" s="50"/>
      <c r="F51" s="5"/>
      <c r="G51" s="5"/>
      <c r="H51" s="5"/>
      <c r="I51" s="5"/>
      <c r="J51" s="5"/>
      <c r="K51" s="5"/>
    </row>
    <row r="52" spans="1:11" ht="27" customHeight="1" x14ac:dyDescent="0.3">
      <c r="B52" s="51" t="s">
        <v>125</v>
      </c>
      <c r="C52" s="51"/>
      <c r="D52" s="51"/>
      <c r="E52" s="51"/>
      <c r="F52" s="29"/>
      <c r="G52" s="51" t="s">
        <v>126</v>
      </c>
      <c r="H52" s="29"/>
      <c r="I52" s="29"/>
      <c r="J52" s="29"/>
      <c r="K52" s="29"/>
    </row>
    <row r="53" spans="1:11" ht="27" customHeight="1" x14ac:dyDescent="0.3">
      <c r="B53" s="51" t="s">
        <v>127</v>
      </c>
      <c r="C53" s="51"/>
      <c r="D53" s="51"/>
      <c r="E53" s="51"/>
      <c r="F53" s="29"/>
      <c r="G53" s="51" t="s">
        <v>128</v>
      </c>
      <c r="H53" s="29"/>
      <c r="I53" s="29"/>
      <c r="J53" s="29"/>
      <c r="K53" s="29"/>
    </row>
    <row r="54" spans="1:11" ht="27" customHeight="1" x14ac:dyDescent="0.3">
      <c r="B54" s="51" t="s">
        <v>129</v>
      </c>
      <c r="C54" s="51"/>
      <c r="D54" s="51"/>
      <c r="E54" s="51"/>
      <c r="F54" s="29"/>
      <c r="G54" s="51" t="s">
        <v>130</v>
      </c>
      <c r="H54" s="29"/>
      <c r="I54" s="29"/>
      <c r="J54" s="29"/>
      <c r="K54" s="29"/>
    </row>
    <row r="55" spans="1:11" x14ac:dyDescent="0.25">
      <c r="B55" s="29"/>
      <c r="C55" s="29"/>
      <c r="D55" s="29"/>
      <c r="E55" s="29"/>
      <c r="F55" s="29"/>
      <c r="G55" s="29"/>
      <c r="H55" s="29"/>
      <c r="I55" s="29"/>
      <c r="J55" s="29"/>
      <c r="K55" s="29"/>
    </row>
  </sheetData>
  <mergeCells count="48">
    <mergeCell ref="I2:K2"/>
    <mergeCell ref="A3:K3"/>
    <mergeCell ref="J4:K4"/>
    <mergeCell ref="B6:E6"/>
    <mergeCell ref="B7:E7"/>
    <mergeCell ref="F4:G4"/>
    <mergeCell ref="H4:I4"/>
    <mergeCell ref="B8:E8"/>
    <mergeCell ref="B9:E9"/>
    <mergeCell ref="A4:A5"/>
    <mergeCell ref="B4:E5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7:E47"/>
    <mergeCell ref="B40:E40"/>
    <mergeCell ref="B41:E41"/>
    <mergeCell ref="B42:E42"/>
    <mergeCell ref="B43:E43"/>
    <mergeCell ref="B44:E44"/>
    <mergeCell ref="B45:E45"/>
  </mergeCells>
  <pageMargins left="1.1811023622047245" right="0.39370078740157483" top="0.78740157480314965" bottom="0.78740157480314965" header="0.31496062992125984" footer="0.31496062992125984"/>
  <pageSetup paperSize="9" scale="41" orientation="portrait" r:id="rId1"/>
  <ignoredErrors>
    <ignoredError sqref="A18" twoDigitTextYear="1"/>
    <ignoredError sqref="H18:H19 H22 J18:J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tabSelected="1" workbookViewId="0">
      <selection activeCell="G9" sqref="G9"/>
    </sheetView>
  </sheetViews>
  <sheetFormatPr defaultRowHeight="15" x14ac:dyDescent="0.25"/>
  <cols>
    <col min="1" max="1" width="8.7109375" customWidth="1"/>
    <col min="5" max="5" width="61" customWidth="1"/>
    <col min="6" max="10" width="25.5703125" customWidth="1"/>
    <col min="11" max="11" width="25.85546875" customWidth="1"/>
  </cols>
  <sheetData>
    <row r="1" spans="1:11" ht="57" customHeight="1" x14ac:dyDescent="0.25">
      <c r="I1" s="78"/>
      <c r="J1" s="78"/>
      <c r="K1" s="78"/>
    </row>
    <row r="2" spans="1:11" s="29" customFormat="1" ht="69" customHeight="1" x14ac:dyDescent="0.25">
      <c r="A2" s="81" t="s">
        <v>133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7.5" hidden="1" customHeight="1" x14ac:dyDescent="0.25">
      <c r="A3" s="83" t="s">
        <v>0</v>
      </c>
      <c r="B3" s="112" t="s">
        <v>1</v>
      </c>
      <c r="C3" s="113"/>
      <c r="D3" s="113"/>
      <c r="E3" s="114"/>
      <c r="F3" s="86" t="s">
        <v>82</v>
      </c>
      <c r="G3" s="87"/>
      <c r="H3" s="86" t="s">
        <v>82</v>
      </c>
      <c r="I3" s="87"/>
      <c r="J3" s="86" t="s">
        <v>82</v>
      </c>
      <c r="K3" s="87"/>
    </row>
    <row r="4" spans="1:11" ht="30.75" customHeight="1" x14ac:dyDescent="0.25">
      <c r="A4" s="84"/>
      <c r="B4" s="115"/>
      <c r="C4" s="116"/>
      <c r="D4" s="116"/>
      <c r="E4" s="117"/>
      <c r="F4" s="86" t="s">
        <v>2</v>
      </c>
      <c r="G4" s="87"/>
      <c r="H4" s="86" t="s">
        <v>3</v>
      </c>
      <c r="I4" s="87"/>
      <c r="J4" s="86" t="s">
        <v>4</v>
      </c>
      <c r="K4" s="87"/>
    </row>
    <row r="5" spans="1:11" ht="26.25" customHeight="1" x14ac:dyDescent="0.25">
      <c r="A5" s="85"/>
      <c r="B5" s="118"/>
      <c r="C5" s="119"/>
      <c r="D5" s="119"/>
      <c r="E5" s="120"/>
      <c r="F5" s="15" t="s">
        <v>5</v>
      </c>
      <c r="G5" s="15" t="s">
        <v>6</v>
      </c>
      <c r="H5" s="15" t="s">
        <v>5</v>
      </c>
      <c r="I5" s="15" t="s">
        <v>6</v>
      </c>
      <c r="J5" s="15" t="s">
        <v>5</v>
      </c>
      <c r="K5" s="15" t="s">
        <v>6</v>
      </c>
    </row>
    <row r="6" spans="1:11" ht="21.75" customHeight="1" x14ac:dyDescent="0.3">
      <c r="A6" s="11">
        <v>1</v>
      </c>
      <c r="B6" s="91">
        <v>2</v>
      </c>
      <c r="C6" s="92"/>
      <c r="D6" s="92"/>
      <c r="E6" s="93"/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</row>
    <row r="7" spans="1:11" ht="25.5" customHeight="1" x14ac:dyDescent="0.3">
      <c r="A7" s="11">
        <v>1</v>
      </c>
      <c r="B7" s="28" t="s">
        <v>7</v>
      </c>
      <c r="C7" s="28"/>
      <c r="D7" s="28"/>
      <c r="E7" s="28"/>
      <c r="F7" s="23">
        <f>F8+F19+F20+F23</f>
        <v>71665.503349999999</v>
      </c>
      <c r="G7" s="23">
        <f t="shared" ref="G7" si="0">G8+G19+G20+G23</f>
        <v>1932.6446707187158</v>
      </c>
      <c r="H7" s="23">
        <f>H8+H19+H20+H23</f>
        <v>17635.74464131736</v>
      </c>
      <c r="I7" s="23">
        <f>I8+I19+I20+I23-0.01</f>
        <v>1932.636928658635</v>
      </c>
      <c r="J7" s="23">
        <f>J8+J19+J20+J23</f>
        <v>1086.6720949333303</v>
      </c>
      <c r="K7" s="23">
        <f>K8+K19+K20+K23+0.01</f>
        <v>1932.6377643649359</v>
      </c>
    </row>
    <row r="8" spans="1:11" ht="34.5" customHeight="1" x14ac:dyDescent="0.3">
      <c r="A8" s="13" t="s">
        <v>8</v>
      </c>
      <c r="B8" s="28" t="s">
        <v>9</v>
      </c>
      <c r="C8" s="28"/>
      <c r="D8" s="28"/>
      <c r="E8" s="28"/>
      <c r="F8" s="23">
        <f>F9+F13+F17+F18</f>
        <v>58469.57</v>
      </c>
      <c r="G8" s="23">
        <f>G9+G13+G17+G18</f>
        <v>1576.7769760390127</v>
      </c>
      <c r="H8" s="23">
        <f>H9+H13+H17+H18</f>
        <v>14388.446994317359</v>
      </c>
      <c r="I8" s="23">
        <f>I9+I13+I17+I18+0.01</f>
        <v>1576.7785400594364</v>
      </c>
      <c r="J8" s="23">
        <f>J9+J13+J17+J18</f>
        <v>886.58925493333015</v>
      </c>
      <c r="K8" s="23">
        <f>K9+K13+K17+K18</f>
        <v>1576.7767360778992</v>
      </c>
    </row>
    <row r="9" spans="1:11" ht="35.25" customHeight="1" x14ac:dyDescent="0.3">
      <c r="A9" s="13" t="s">
        <v>10</v>
      </c>
      <c r="B9" s="94" t="s">
        <v>11</v>
      </c>
      <c r="C9" s="95"/>
      <c r="D9" s="95"/>
      <c r="E9" s="96"/>
      <c r="F9" s="23">
        <f>виробництво!F8</f>
        <v>54388.19</v>
      </c>
      <c r="G9" s="23">
        <f>виробництво!G8</f>
        <v>1466.7146136092801</v>
      </c>
      <c r="H9" s="23">
        <f>виробництво!H8</f>
        <v>13384.18</v>
      </c>
      <c r="I9" s="23">
        <f>виробництво!I8</f>
        <v>1466.7068595633482</v>
      </c>
      <c r="J9" s="23">
        <f>виробництво!J8</f>
        <v>824.7</v>
      </c>
      <c r="K9" s="23">
        <f>виробництво!K8</f>
        <v>1466.7140867842195</v>
      </c>
    </row>
    <row r="10" spans="1:11" ht="30" customHeight="1" x14ac:dyDescent="0.25">
      <c r="A10" s="38" t="s">
        <v>118</v>
      </c>
      <c r="B10" s="100" t="s">
        <v>122</v>
      </c>
      <c r="C10" s="101"/>
      <c r="D10" s="101"/>
      <c r="E10" s="102"/>
      <c r="F10" s="39">
        <f>виробництво!F9</f>
        <v>43184.23</v>
      </c>
      <c r="G10" s="39">
        <f>виробництво!G9</f>
        <v>1164.5715957538628</v>
      </c>
      <c r="H10" s="39">
        <f>виробництво!H9</f>
        <v>10627.17</v>
      </c>
      <c r="I10" s="39">
        <f>виробництво!I9</f>
        <v>1164.5668595633483</v>
      </c>
      <c r="J10" s="39">
        <f>виробництво!J9</f>
        <v>655.03000000000009</v>
      </c>
      <c r="K10" s="39">
        <f>виробництво!K9</f>
        <v>1164.5740867842196</v>
      </c>
    </row>
    <row r="11" spans="1:11" ht="20.25" customHeight="1" x14ac:dyDescent="0.3">
      <c r="A11" s="32" t="s">
        <v>119</v>
      </c>
      <c r="B11" s="103" t="s">
        <v>120</v>
      </c>
      <c r="C11" s="104"/>
      <c r="D11" s="104"/>
      <c r="E11" s="105"/>
      <c r="F11" s="31">
        <f>виробництво!F10</f>
        <v>761.43</v>
      </c>
      <c r="G11" s="31">
        <f>виробництво!G10</f>
        <v>20.533878921885687</v>
      </c>
      <c r="H11" s="31">
        <f>виробництво!H10</f>
        <v>187.37</v>
      </c>
      <c r="I11" s="31">
        <f>виробництво!I10</f>
        <v>20.53</v>
      </c>
      <c r="J11" s="31">
        <f>виробництво!J10</f>
        <v>11.53</v>
      </c>
      <c r="K11" s="31">
        <f>виробництво!K10</f>
        <v>20.53</v>
      </c>
    </row>
    <row r="12" spans="1:11" ht="19.5" customHeight="1" x14ac:dyDescent="0.3">
      <c r="A12" s="32" t="s">
        <v>123</v>
      </c>
      <c r="B12" s="103" t="s">
        <v>121</v>
      </c>
      <c r="C12" s="104"/>
      <c r="D12" s="104"/>
      <c r="E12" s="105"/>
      <c r="F12" s="31">
        <f>виробництво!F11</f>
        <v>10442.530000000001</v>
      </c>
      <c r="G12" s="31">
        <f>виробництво!G11</f>
        <v>281.6091389335316</v>
      </c>
      <c r="H12" s="31">
        <f>виробництво!H11</f>
        <v>2569.64</v>
      </c>
      <c r="I12" s="31">
        <f>виробництво!I11</f>
        <v>281.61</v>
      </c>
      <c r="J12" s="31">
        <f>виробництво!J11</f>
        <v>158.13999999999999</v>
      </c>
      <c r="K12" s="31">
        <f>виробництво!K11</f>
        <v>281.61</v>
      </c>
    </row>
    <row r="13" spans="1:11" ht="24" customHeight="1" x14ac:dyDescent="0.3">
      <c r="A13" s="45" t="s">
        <v>84</v>
      </c>
      <c r="B13" s="46" t="s">
        <v>13</v>
      </c>
      <c r="C13" s="46"/>
      <c r="D13" s="46"/>
      <c r="E13" s="46"/>
      <c r="F13" s="47">
        <f>виробництво!F12+транспортування!F9+постачання!F10</f>
        <v>3792.0600000000004</v>
      </c>
      <c r="G13" s="47">
        <f>виробництво!G12+транспортування!G9+постачання!G10</f>
        <v>102.26246284803017</v>
      </c>
      <c r="H13" s="47">
        <f>виробництво!H12+транспортування!H9+постачання!H10</f>
        <v>933.11</v>
      </c>
      <c r="I13" s="47">
        <f>виробництво!I12+транспортування!I9+постачання!I10+0.01</f>
        <v>102.26494335253453</v>
      </c>
      <c r="J13" s="47">
        <f>виробництво!J12+транспортування!J9+постачання!J10</f>
        <v>57.5</v>
      </c>
      <c r="K13" s="47">
        <f>виробництво!K12+транспортування!K9+постачання!K10</f>
        <v>102.26239505918286</v>
      </c>
    </row>
    <row r="14" spans="1:11" ht="18.75" hidden="1" x14ac:dyDescent="0.3">
      <c r="A14" s="13" t="s">
        <v>20</v>
      </c>
      <c r="B14" s="28" t="s">
        <v>15</v>
      </c>
      <c r="C14" s="28"/>
      <c r="D14" s="28"/>
      <c r="E14" s="28"/>
      <c r="F14" s="23">
        <v>0</v>
      </c>
      <c r="G14" s="23"/>
      <c r="H14" s="23">
        <v>0</v>
      </c>
      <c r="I14" s="23">
        <v>0</v>
      </c>
      <c r="J14" s="23">
        <v>0</v>
      </c>
      <c r="K14" s="23">
        <v>0</v>
      </c>
    </row>
    <row r="15" spans="1:11" ht="18.75" hidden="1" x14ac:dyDescent="0.3">
      <c r="A15" s="13" t="s">
        <v>22</v>
      </c>
      <c r="B15" s="28" t="s">
        <v>17</v>
      </c>
      <c r="C15" s="28"/>
      <c r="D15" s="28"/>
      <c r="E15" s="28"/>
      <c r="F15" s="23">
        <v>0</v>
      </c>
      <c r="G15" s="23"/>
      <c r="H15" s="23">
        <v>0</v>
      </c>
      <c r="I15" s="23">
        <v>0</v>
      </c>
      <c r="J15" s="23">
        <v>0</v>
      </c>
      <c r="K15" s="23">
        <v>0</v>
      </c>
    </row>
    <row r="16" spans="1:11" ht="18.75" hidden="1" x14ac:dyDescent="0.3">
      <c r="A16" s="13" t="s">
        <v>24</v>
      </c>
      <c r="B16" s="28" t="s">
        <v>19</v>
      </c>
      <c r="C16" s="28"/>
      <c r="D16" s="28"/>
      <c r="E16" s="28"/>
      <c r="F16" s="23">
        <v>0</v>
      </c>
      <c r="G16" s="23"/>
      <c r="H16" s="23">
        <v>0</v>
      </c>
      <c r="I16" s="23">
        <v>0</v>
      </c>
      <c r="J16" s="23">
        <v>0</v>
      </c>
      <c r="K16" s="23">
        <v>0</v>
      </c>
    </row>
    <row r="17" spans="1:11" ht="18.75" x14ac:dyDescent="0.3">
      <c r="A17" s="13" t="s">
        <v>85</v>
      </c>
      <c r="B17" s="28" t="s">
        <v>21</v>
      </c>
      <c r="C17" s="28"/>
      <c r="D17" s="28"/>
      <c r="E17" s="28"/>
      <c r="F17" s="23">
        <f>виробництво!F16+транспортування!F13+постачання!F14</f>
        <v>105.61000000000001</v>
      </c>
      <c r="G17" s="23">
        <f>виробництво!G16+транспортування!G13+постачання!G14</f>
        <v>2.85</v>
      </c>
      <c r="H17" s="23">
        <f>виробництво!H16+транспортування!H13+постачання!H14</f>
        <v>25.98765461735789</v>
      </c>
      <c r="I17" s="23">
        <f>виробництво!I16+транспортування!I13+постачання!I14</f>
        <v>2.8468502364888231</v>
      </c>
      <c r="J17" s="23">
        <f>виробництво!J16+транспортування!J13+постачання!J14</f>
        <v>1.6012537333300652</v>
      </c>
      <c r="K17" s="23">
        <f>виробництво!K16+транспортування!K13+постачання!K14</f>
        <v>2.8468502364888231</v>
      </c>
    </row>
    <row r="18" spans="1:11" ht="18.75" x14ac:dyDescent="0.3">
      <c r="A18" s="13" t="s">
        <v>86</v>
      </c>
      <c r="B18" s="97" t="s">
        <v>23</v>
      </c>
      <c r="C18" s="98"/>
      <c r="D18" s="98"/>
      <c r="E18" s="99"/>
      <c r="F18" s="23">
        <f>виробництво!F17+транспортування!F14+постачання!F15</f>
        <v>183.71</v>
      </c>
      <c r="G18" s="23">
        <f>виробництво!G17+транспортування!G14+постачання!G15</f>
        <v>4.9498995817022911</v>
      </c>
      <c r="H18" s="23">
        <f>виробництво!H17+транспортування!H14+постачання!H15</f>
        <v>45.169339699999995</v>
      </c>
      <c r="I18" s="23">
        <f>виробництво!I17+транспортування!I14+постачання!I15</f>
        <v>4.9498869070649105</v>
      </c>
      <c r="J18" s="23">
        <f>виробництво!J17+транспортування!J14+постачання!J15</f>
        <v>2.7880012000000001</v>
      </c>
      <c r="K18" s="23">
        <f>виробництво!K17+транспортування!K14+постачання!K15</f>
        <v>4.9534039980081097</v>
      </c>
    </row>
    <row r="19" spans="1:11" ht="21" customHeight="1" x14ac:dyDescent="0.3">
      <c r="A19" s="13" t="s">
        <v>87</v>
      </c>
      <c r="B19" s="97" t="s">
        <v>25</v>
      </c>
      <c r="C19" s="98"/>
      <c r="D19" s="98"/>
      <c r="E19" s="99"/>
      <c r="F19" s="23">
        <f>виробництво!F18+транспортування!F15+постачання!F16</f>
        <v>5579.8300000000008</v>
      </c>
      <c r="G19" s="23">
        <f>F19/F46*1000</f>
        <v>150.47419693411621</v>
      </c>
      <c r="H19" s="23">
        <v>1373.11</v>
      </c>
      <c r="I19" s="23">
        <v>150.47411856673449</v>
      </c>
      <c r="J19" s="23">
        <v>84.6</v>
      </c>
      <c r="K19" s="23">
        <v>150.47411856673449</v>
      </c>
    </row>
    <row r="20" spans="1:11" ht="18.75" x14ac:dyDescent="0.3">
      <c r="A20" s="13" t="s">
        <v>88</v>
      </c>
      <c r="B20" s="28" t="s">
        <v>27</v>
      </c>
      <c r="C20" s="28"/>
      <c r="D20" s="28"/>
      <c r="E20" s="28"/>
      <c r="F20" s="23">
        <f>виробництво!F19+транспортування!F16+постачання!F17</f>
        <v>1827.9793559999998</v>
      </c>
      <c r="G20" s="23">
        <f>виробництво!G19+транспортування!G16+постачання!G17</f>
        <v>49.298823254954137</v>
      </c>
      <c r="H20" s="23">
        <f>виробництво!H19+транспортування!H16+постачання!H17</f>
        <v>449.82298800000001</v>
      </c>
      <c r="I20" s="23">
        <f>виробництво!I19+транспортування!I16+постачання!I17+0.01</f>
        <v>49.303901149444762</v>
      </c>
      <c r="J20" s="23">
        <f>виробництво!J19+транспортування!J16+постачання!J17</f>
        <v>27.720679999999998</v>
      </c>
      <c r="K20" s="23">
        <f>виробництво!K19+транспортування!K16+постачання!K17</f>
        <v>49.289420217685141</v>
      </c>
    </row>
    <row r="21" spans="1:11" ht="18.75" x14ac:dyDescent="0.3">
      <c r="A21" s="13" t="s">
        <v>90</v>
      </c>
      <c r="B21" s="28" t="s">
        <v>29</v>
      </c>
      <c r="C21" s="28"/>
      <c r="D21" s="28"/>
      <c r="E21" s="28"/>
      <c r="F21" s="23">
        <f>виробництво!F20+транспортування!F17+постачання!F18</f>
        <v>1498.477165</v>
      </c>
      <c r="G21" s="23">
        <f>виробництво!G20+транспортування!G17+постачання!G18</f>
        <v>40.409333673588883</v>
      </c>
      <c r="H21" s="23">
        <f>виробництво!H20+транспортування!H17+постачання!H18</f>
        <v>368.73357499999997</v>
      </c>
      <c r="I21" s="23">
        <f>H21/H46*1000</f>
        <v>40.407697584635294</v>
      </c>
      <c r="J21" s="23">
        <v>22.72</v>
      </c>
      <c r="K21" s="23">
        <f>40.41</f>
        <v>40.409999999999997</v>
      </c>
    </row>
    <row r="22" spans="1:11" ht="18.75" x14ac:dyDescent="0.3">
      <c r="A22" s="13" t="s">
        <v>91</v>
      </c>
      <c r="B22" s="28" t="s">
        <v>27</v>
      </c>
      <c r="C22" s="28"/>
      <c r="D22" s="28"/>
      <c r="E22" s="28"/>
      <c r="F22" s="23">
        <f>виробництво!F21+транспортування!F18+постачання!F19</f>
        <v>329.50219099999998</v>
      </c>
      <c r="G22" s="23">
        <f>виробництво!G21+транспортування!G18+постачання!G19</f>
        <v>8.8894895813652486</v>
      </c>
      <c r="H22" s="23">
        <f>виробництво!H21+транспортування!H18+постачання!H19</f>
        <v>81.089413000000008</v>
      </c>
      <c r="I22" s="23">
        <f>виробництво!I21+транспортування!I18+постачання!I19</f>
        <v>8.8861921539661548</v>
      </c>
      <c r="J22" s="23">
        <f>виробництво!J21+транспортування!J18+постачання!J19</f>
        <v>5.0034799999999997</v>
      </c>
      <c r="K22" s="23">
        <f>виробництво!K21+транспортування!K18+постачання!K19</f>
        <v>8.8853631642598003</v>
      </c>
    </row>
    <row r="23" spans="1:11" ht="23.25" customHeight="1" x14ac:dyDescent="0.3">
      <c r="A23" s="13" t="s">
        <v>89</v>
      </c>
      <c r="B23" s="28" t="s">
        <v>32</v>
      </c>
      <c r="C23" s="28"/>
      <c r="D23" s="28"/>
      <c r="E23" s="28"/>
      <c r="F23" s="23">
        <f>виробництво!F22+транспортування!F19+постачання!F20</f>
        <v>5788.1239939999996</v>
      </c>
      <c r="G23" s="23">
        <f>виробництво!G22+транспортування!G19+постачання!G20</f>
        <v>156.09467449063277</v>
      </c>
      <c r="H23" s="23">
        <f>виробництво!H22+транспортування!H19+постачання!H20</f>
        <v>1424.3646590000001</v>
      </c>
      <c r="I23" s="23">
        <f>виробництво!I22+транспортування!I19+постачання!I20</f>
        <v>156.09036888301952</v>
      </c>
      <c r="J23" s="23">
        <f>виробництво!J22+транспортування!J19+постачання!J20</f>
        <v>87.762159999999994</v>
      </c>
      <c r="K23" s="23">
        <f>виробництво!K22+транспортування!K19+постачання!K20-0.01</f>
        <v>156.08748950261727</v>
      </c>
    </row>
    <row r="24" spans="1:11" ht="23.25" customHeight="1" x14ac:dyDescent="0.3">
      <c r="A24" s="13" t="s">
        <v>92</v>
      </c>
      <c r="B24" s="97" t="s">
        <v>34</v>
      </c>
      <c r="C24" s="98"/>
      <c r="D24" s="98"/>
      <c r="E24" s="99"/>
      <c r="F24" s="23">
        <f>виробництво!F23+транспортування!F20+постачання!F21</f>
        <v>5454.1900000000005</v>
      </c>
      <c r="G24" s="23">
        <f>виробництво!G23+транспортування!G20+постачання!G21</f>
        <v>147.08848781755833</v>
      </c>
      <c r="H24" s="23">
        <f>виробництво!H23+транспортування!H20+постачання!H21</f>
        <v>1342.21</v>
      </c>
      <c r="I24" s="23">
        <f>виробництво!I23+транспортування!I20+постачання!I21</f>
        <v>147.08847406546852</v>
      </c>
      <c r="J24" s="23">
        <f>виробництво!J23+транспортування!J20+постачання!J21</f>
        <v>82.702587915657432</v>
      </c>
      <c r="K24" s="23">
        <f>виробництво!K23+транспортування!K20+постачання!K21</f>
        <v>147.08847406546852</v>
      </c>
    </row>
    <row r="25" spans="1:11" ht="18.75" x14ac:dyDescent="0.3">
      <c r="A25" s="13" t="s">
        <v>93</v>
      </c>
      <c r="B25" s="88" t="s">
        <v>36</v>
      </c>
      <c r="C25" s="89"/>
      <c r="D25" s="89"/>
      <c r="E25" s="90"/>
      <c r="F25" s="23">
        <f>виробництво!F24+транспортування!F21+постачання!F22</f>
        <v>333.93399400000004</v>
      </c>
      <c r="G25" s="23">
        <f>виробництво!G24+транспортування!G21+постачання!G22</f>
        <v>9.0053719734009423</v>
      </c>
      <c r="H25" s="23">
        <f>виробництво!H24+транспортування!H21+постачання!H22</f>
        <v>82.154659000000009</v>
      </c>
      <c r="I25" s="23">
        <f>виробництво!I24+транспортування!I21+постачання!I22+0.01</f>
        <v>9.0129268879074456</v>
      </c>
      <c r="J25" s="23">
        <f>виробництво!J24+транспортування!J21+постачання!J22</f>
        <v>5.0604800000000001</v>
      </c>
      <c r="K25" s="23">
        <f>виробництво!K24+транспортування!K21+постачання!K22</f>
        <v>9.0075087145194566</v>
      </c>
    </row>
    <row r="26" spans="1:11" ht="18.75" x14ac:dyDescent="0.3">
      <c r="A26" s="13" t="s">
        <v>95</v>
      </c>
      <c r="B26" s="28" t="s">
        <v>38</v>
      </c>
      <c r="C26" s="28"/>
      <c r="D26" s="28"/>
      <c r="E26" s="28"/>
      <c r="F26" s="23">
        <f>F27+F28</f>
        <v>3120.8040820000006</v>
      </c>
      <c r="G26" s="23">
        <f>84.15</f>
        <v>84.15</v>
      </c>
      <c r="H26" s="23">
        <f>H27+H28</f>
        <v>767.94999999999993</v>
      </c>
      <c r="I26" s="23">
        <f>I27+I28</f>
        <v>84.15</v>
      </c>
      <c r="J26" s="23">
        <f>J27+J28</f>
        <v>47.34</v>
      </c>
      <c r="K26" s="23">
        <f>K27+K28</f>
        <v>84.15</v>
      </c>
    </row>
    <row r="27" spans="1:11" ht="21" customHeight="1" x14ac:dyDescent="0.3">
      <c r="A27" s="13" t="s">
        <v>94</v>
      </c>
      <c r="B27" s="97" t="s">
        <v>34</v>
      </c>
      <c r="C27" s="98"/>
      <c r="D27" s="98"/>
      <c r="E27" s="99"/>
      <c r="F27" s="23">
        <f>виробництво!F26+транспортування!F23+постачання!F24</f>
        <v>2979.8900000000003</v>
      </c>
      <c r="G27" s="23">
        <f>80.36</f>
        <v>80.36</v>
      </c>
      <c r="H27" s="23">
        <f>733.31</f>
        <v>733.31</v>
      </c>
      <c r="I27" s="23">
        <v>80.36</v>
      </c>
      <c r="J27" s="23">
        <f>виробництво!J26+транспортування!J23+постачання!J24</f>
        <v>45.2</v>
      </c>
      <c r="K27" s="23">
        <v>80.36</v>
      </c>
    </row>
    <row r="28" spans="1:11" ht="18.75" x14ac:dyDescent="0.3">
      <c r="A28" s="13" t="s">
        <v>96</v>
      </c>
      <c r="B28" s="88" t="s">
        <v>36</v>
      </c>
      <c r="C28" s="89"/>
      <c r="D28" s="89"/>
      <c r="E28" s="90"/>
      <c r="F28" s="23">
        <f>виробництво!F27+транспортування!F24+постачання!F25</f>
        <v>140.91408200000001</v>
      </c>
      <c r="G28" s="23">
        <f>3.79</f>
        <v>3.79</v>
      </c>
      <c r="H28" s="23">
        <v>34.64</v>
      </c>
      <c r="I28" s="23">
        <f>3.79</f>
        <v>3.79</v>
      </c>
      <c r="J28" s="23">
        <f>виробництво!J27+транспортування!J24+постачання!J25</f>
        <v>2.1399999999999997</v>
      </c>
      <c r="K28" s="23">
        <v>3.79</v>
      </c>
    </row>
    <row r="29" spans="1:11" ht="18.75" x14ac:dyDescent="0.3">
      <c r="A29" s="13" t="s">
        <v>97</v>
      </c>
      <c r="B29" s="88" t="s">
        <v>42</v>
      </c>
      <c r="C29" s="89"/>
      <c r="D29" s="89"/>
      <c r="E29" s="90"/>
      <c r="F29" s="23">
        <f>F30+F31</f>
        <v>749.01</v>
      </c>
      <c r="G29" s="23">
        <f t="shared" ref="G29:J29" si="1">G30+G31</f>
        <v>20.19897788770939</v>
      </c>
      <c r="H29" s="23">
        <v>184.31</v>
      </c>
      <c r="I29" s="23">
        <f t="shared" si="1"/>
        <v>20.198371074779153</v>
      </c>
      <c r="J29" s="23">
        <f t="shared" si="1"/>
        <v>11.355769779127199</v>
      </c>
      <c r="K29" s="23">
        <f>K30+K31</f>
        <v>20.200000000000003</v>
      </c>
    </row>
    <row r="30" spans="1:11" ht="20.25" customHeight="1" x14ac:dyDescent="0.3">
      <c r="A30" s="13" t="s">
        <v>98</v>
      </c>
      <c r="B30" s="97" t="s">
        <v>34</v>
      </c>
      <c r="C30" s="98"/>
      <c r="D30" s="98"/>
      <c r="E30" s="99"/>
      <c r="F30" s="23">
        <f>постачання!F27</f>
        <v>739.37</v>
      </c>
      <c r="G30" s="23">
        <f>F30/F46*1000</f>
        <v>19.938977887709388</v>
      </c>
      <c r="H30" s="23">
        <v>181.94421571981442</v>
      </c>
      <c r="I30" s="23">
        <f>H30/H46*1000</f>
        <v>19.938371074779152</v>
      </c>
      <c r="J30" s="23">
        <f>постачання!J27</f>
        <v>11.205769779127198</v>
      </c>
      <c r="K30" s="23">
        <v>19.940000000000001</v>
      </c>
    </row>
    <row r="31" spans="1:11" ht="18.75" x14ac:dyDescent="0.3">
      <c r="A31" s="13" t="s">
        <v>99</v>
      </c>
      <c r="B31" s="88" t="s">
        <v>36</v>
      </c>
      <c r="C31" s="89"/>
      <c r="D31" s="89"/>
      <c r="E31" s="90"/>
      <c r="F31" s="23">
        <f>виробництво!F30+транспортування!F27+постачання!F28</f>
        <v>9.64</v>
      </c>
      <c r="G31" s="23">
        <f>виробництво!G30+транспортування!G27+постачання!G28</f>
        <v>0.26</v>
      </c>
      <c r="H31" s="23">
        <f>виробництво!H30+транспортування!H27+постачання!H28</f>
        <v>2.37</v>
      </c>
      <c r="I31" s="23">
        <f>виробництво!I30+транспортування!I27+постачання!I28</f>
        <v>0.26</v>
      </c>
      <c r="J31" s="23">
        <f>виробництво!J30+транспортування!J27+постачання!J28</f>
        <v>0.15</v>
      </c>
      <c r="K31" s="23">
        <f>виробництво!K30+транспортування!K27+постачання!K28</f>
        <v>0.26</v>
      </c>
    </row>
    <row r="32" spans="1:11" ht="18.75" x14ac:dyDescent="0.3">
      <c r="A32" s="13" t="s">
        <v>100</v>
      </c>
      <c r="B32" s="88" t="s">
        <v>46</v>
      </c>
      <c r="C32" s="89"/>
      <c r="D32" s="89"/>
      <c r="E32" s="90"/>
      <c r="F32" s="23"/>
      <c r="G32" s="23"/>
      <c r="H32" s="23"/>
      <c r="I32" s="23"/>
      <c r="J32" s="23"/>
      <c r="K32" s="23"/>
    </row>
    <row r="33" spans="1:11" ht="18.75" x14ac:dyDescent="0.3">
      <c r="A33" s="13" t="s">
        <v>101</v>
      </c>
      <c r="B33" s="88" t="s">
        <v>48</v>
      </c>
      <c r="C33" s="89"/>
      <c r="D33" s="89"/>
      <c r="E33" s="90"/>
      <c r="F33" s="23">
        <f>F7+F26+F29</f>
        <v>75535.317431999996</v>
      </c>
      <c r="G33" s="23">
        <f>F33/F46*1000</f>
        <v>2037.0004517599543</v>
      </c>
      <c r="H33" s="23">
        <f>H7+H26+H29</f>
        <v>18588.004641317362</v>
      </c>
      <c r="I33" s="23">
        <v>2037</v>
      </c>
      <c r="J33" s="23">
        <f>J7+J26+J29</f>
        <v>1145.3678647124575</v>
      </c>
      <c r="K33" s="23">
        <f>K7+K29+K26+0.01</f>
        <v>2036.9977643649361</v>
      </c>
    </row>
    <row r="34" spans="1:11" ht="18.75" x14ac:dyDescent="0.3">
      <c r="A34" s="13" t="s">
        <v>102</v>
      </c>
      <c r="B34" s="28" t="s">
        <v>50</v>
      </c>
      <c r="C34" s="28"/>
      <c r="D34" s="28"/>
      <c r="E34" s="28"/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</row>
    <row r="35" spans="1:11" ht="18.75" x14ac:dyDescent="0.3">
      <c r="A35" s="13" t="s">
        <v>103</v>
      </c>
      <c r="B35" s="28" t="s">
        <v>52</v>
      </c>
      <c r="C35" s="28"/>
      <c r="D35" s="28"/>
      <c r="E35" s="28"/>
      <c r="F35" s="23">
        <v>0</v>
      </c>
      <c r="G35" s="23"/>
      <c r="H35" s="23">
        <f>1868.42</f>
        <v>1868.42</v>
      </c>
      <c r="I35" s="23">
        <v>204.75</v>
      </c>
      <c r="J35" s="23">
        <f>115.14</f>
        <v>115.14</v>
      </c>
      <c r="K35" s="23">
        <f>I35</f>
        <v>204.75</v>
      </c>
    </row>
    <row r="36" spans="1:11" ht="18.75" x14ac:dyDescent="0.3">
      <c r="A36" s="13" t="s">
        <v>104</v>
      </c>
      <c r="B36" s="88" t="s">
        <v>54</v>
      </c>
      <c r="C36" s="89"/>
      <c r="D36" s="89"/>
      <c r="E36" s="90"/>
      <c r="F36" s="23">
        <v>0</v>
      </c>
      <c r="G36" s="23"/>
      <c r="H36" s="23">
        <f>I36*H46/1000</f>
        <v>285.01189588983033</v>
      </c>
      <c r="I36" s="23">
        <f>I35-I38</f>
        <v>31.233050847457605</v>
      </c>
      <c r="J36" s="23">
        <f>K36*J46/1000</f>
        <v>17.561719830508459</v>
      </c>
      <c r="K36" s="23">
        <f>K35-K38</f>
        <v>31.233050847457605</v>
      </c>
    </row>
    <row r="37" spans="1:11" ht="18.75" x14ac:dyDescent="0.3">
      <c r="A37" s="13" t="s">
        <v>105</v>
      </c>
      <c r="B37" s="28" t="s">
        <v>56</v>
      </c>
      <c r="C37" s="28"/>
      <c r="D37" s="28"/>
      <c r="E37" s="28"/>
      <c r="F37" s="23">
        <v>0</v>
      </c>
      <c r="G37" s="23">
        <v>0</v>
      </c>
      <c r="H37" s="23">
        <f>I37*H46/1000</f>
        <v>0</v>
      </c>
      <c r="I37" s="23"/>
      <c r="J37" s="23"/>
      <c r="K37" s="23"/>
    </row>
    <row r="38" spans="1:11" ht="18.75" x14ac:dyDescent="0.3">
      <c r="A38" s="13" t="s">
        <v>106</v>
      </c>
      <c r="B38" s="28" t="s">
        <v>58</v>
      </c>
      <c r="C38" s="28"/>
      <c r="D38" s="28"/>
      <c r="E38" s="28"/>
      <c r="F38" s="23">
        <v>0</v>
      </c>
      <c r="G38" s="23">
        <v>0</v>
      </c>
      <c r="H38" s="19">
        <f>1583.41</f>
        <v>1583.41</v>
      </c>
      <c r="I38" s="19">
        <f>I35/1.18</f>
        <v>173.5169491525424</v>
      </c>
      <c r="J38" s="19">
        <f>J35-J36</f>
        <v>97.578280169491535</v>
      </c>
      <c r="K38" s="19">
        <f>K35/1.18</f>
        <v>173.5169491525424</v>
      </c>
    </row>
    <row r="39" spans="1:11" ht="19.5" customHeight="1" x14ac:dyDescent="0.3">
      <c r="A39" s="13" t="s">
        <v>107</v>
      </c>
      <c r="B39" s="97" t="s">
        <v>60</v>
      </c>
      <c r="C39" s="98"/>
      <c r="D39" s="98"/>
      <c r="E39" s="99"/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</row>
    <row r="40" spans="1:11" ht="28.5" customHeight="1" x14ac:dyDescent="0.3">
      <c r="A40" s="43" t="s">
        <v>108</v>
      </c>
      <c r="B40" s="109" t="s">
        <v>62</v>
      </c>
      <c r="C40" s="110"/>
      <c r="D40" s="110"/>
      <c r="E40" s="111"/>
      <c r="F40" s="44">
        <f>F7+F26+F29</f>
        <v>75535.317431999996</v>
      </c>
      <c r="G40" s="44">
        <f>F40/F46*1000</f>
        <v>2037.0004517599543</v>
      </c>
      <c r="H40" s="44">
        <f>H33+H35</f>
        <v>20456.424641317361</v>
      </c>
      <c r="I40" s="44">
        <f>H40/H46*1000+0.06</f>
        <v>2241.7788903105265</v>
      </c>
      <c r="J40" s="44">
        <f t="shared" ref="J40" si="2">J33+J35</f>
        <v>1260.5078647124576</v>
      </c>
      <c r="K40" s="44">
        <f>J40/J46*1000</f>
        <v>2241.7796555318664</v>
      </c>
    </row>
    <row r="41" spans="1:11" ht="3.75" hidden="1" customHeight="1" x14ac:dyDescent="0.3">
      <c r="A41" s="13" t="s">
        <v>69</v>
      </c>
      <c r="B41" s="28" t="s">
        <v>64</v>
      </c>
      <c r="C41" s="28"/>
      <c r="D41" s="28"/>
      <c r="E41" s="28"/>
      <c r="F41" s="23"/>
      <c r="G41" s="23"/>
      <c r="H41" s="23"/>
      <c r="I41" s="23"/>
      <c r="J41" s="23"/>
      <c r="K41" s="23"/>
    </row>
    <row r="42" spans="1:11" ht="18.75" hidden="1" x14ac:dyDescent="0.3">
      <c r="A42" s="13" t="s">
        <v>71</v>
      </c>
      <c r="B42" s="88" t="s">
        <v>66</v>
      </c>
      <c r="C42" s="89"/>
      <c r="D42" s="89"/>
      <c r="E42" s="90"/>
      <c r="F42" s="23"/>
      <c r="G42" s="23"/>
      <c r="H42" s="23"/>
      <c r="I42" s="23"/>
      <c r="J42" s="23"/>
      <c r="K42" s="23"/>
    </row>
    <row r="43" spans="1:11" ht="18.75" hidden="1" x14ac:dyDescent="0.3">
      <c r="A43" s="13" t="s">
        <v>73</v>
      </c>
      <c r="B43" s="28" t="s">
        <v>68</v>
      </c>
      <c r="C43" s="28"/>
      <c r="D43" s="28"/>
      <c r="E43" s="28"/>
      <c r="F43" s="23"/>
      <c r="G43" s="23"/>
      <c r="H43" s="23"/>
      <c r="I43" s="23"/>
      <c r="J43" s="23"/>
      <c r="K43" s="23"/>
    </row>
    <row r="44" spans="1:11" ht="18.75" hidden="1" x14ac:dyDescent="0.3">
      <c r="A44" s="13" t="s">
        <v>75</v>
      </c>
      <c r="B44" s="88" t="s">
        <v>70</v>
      </c>
      <c r="C44" s="89"/>
      <c r="D44" s="89"/>
      <c r="E44" s="90"/>
      <c r="F44" s="23"/>
      <c r="G44" s="23"/>
      <c r="H44" s="23"/>
      <c r="I44" s="23"/>
      <c r="J44" s="23"/>
      <c r="K44" s="23"/>
    </row>
    <row r="45" spans="1:11" ht="18.75" hidden="1" x14ac:dyDescent="0.3">
      <c r="A45" s="13" t="s">
        <v>77</v>
      </c>
      <c r="B45" s="28" t="s">
        <v>72</v>
      </c>
      <c r="C45" s="28"/>
      <c r="D45" s="28"/>
      <c r="E45" s="28"/>
      <c r="F45" s="23"/>
      <c r="G45" s="23"/>
      <c r="H45" s="23"/>
      <c r="I45" s="23"/>
      <c r="J45" s="23"/>
      <c r="K45" s="23"/>
    </row>
    <row r="46" spans="1:11" ht="33" customHeight="1" x14ac:dyDescent="0.25">
      <c r="A46" s="33" t="s">
        <v>109</v>
      </c>
      <c r="B46" s="106" t="s">
        <v>74</v>
      </c>
      <c r="C46" s="107"/>
      <c r="D46" s="107"/>
      <c r="E46" s="108"/>
      <c r="F46" s="34">
        <v>37081.64</v>
      </c>
      <c r="G46" s="34"/>
      <c r="H46" s="34">
        <v>9125.33</v>
      </c>
      <c r="I46" s="34"/>
      <c r="J46" s="34">
        <v>562.28</v>
      </c>
      <c r="K46" s="34"/>
    </row>
    <row r="47" spans="1:11" ht="28.5" customHeight="1" x14ac:dyDescent="0.3">
      <c r="A47" s="11" t="s">
        <v>110</v>
      </c>
      <c r="B47" s="28" t="s">
        <v>83</v>
      </c>
      <c r="C47" s="28"/>
      <c r="D47" s="28"/>
      <c r="E47" s="28"/>
      <c r="F47" s="23"/>
      <c r="G47" s="40">
        <f>G40</f>
        <v>2037.0004517599543</v>
      </c>
      <c r="H47" s="40"/>
      <c r="I47" s="40">
        <f>I40</f>
        <v>2241.7788903105265</v>
      </c>
      <c r="J47" s="40"/>
      <c r="K47" s="40">
        <f>K40</f>
        <v>2241.7796555318664</v>
      </c>
    </row>
    <row r="48" spans="1:11" ht="42.75" customHeight="1" x14ac:dyDescent="0.25">
      <c r="A48" s="35" t="s">
        <v>111</v>
      </c>
      <c r="B48" s="36" t="s">
        <v>78</v>
      </c>
      <c r="C48" s="36"/>
      <c r="D48" s="36"/>
      <c r="E48" s="36"/>
      <c r="F48" s="37"/>
      <c r="G48" s="37">
        <f>G47*1.2</f>
        <v>2444.400542111945</v>
      </c>
      <c r="H48" s="37"/>
      <c r="I48" s="37">
        <f>I47*1.2+0.01</f>
        <v>2690.1446683726322</v>
      </c>
      <c r="J48" s="37"/>
      <c r="K48" s="37">
        <f>K47*1.2</f>
        <v>2690.1355866382396</v>
      </c>
    </row>
    <row r="49" spans="2:11" ht="21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2:11" ht="27" customHeight="1" x14ac:dyDescent="0.3">
      <c r="B50" s="51" t="s">
        <v>125</v>
      </c>
      <c r="C50" s="51"/>
      <c r="D50" s="51"/>
      <c r="E50" s="51"/>
      <c r="F50" s="29"/>
      <c r="G50" s="51" t="s">
        <v>126</v>
      </c>
    </row>
    <row r="51" spans="2:11" ht="27" customHeight="1" x14ac:dyDescent="0.3">
      <c r="B51" s="51" t="s">
        <v>127</v>
      </c>
      <c r="C51" s="51"/>
      <c r="D51" s="51"/>
      <c r="E51" s="51"/>
      <c r="F51" s="29"/>
      <c r="G51" s="51" t="s">
        <v>128</v>
      </c>
    </row>
    <row r="52" spans="2:11" ht="27" customHeight="1" x14ac:dyDescent="0.3">
      <c r="B52" s="51" t="s">
        <v>129</v>
      </c>
      <c r="C52" s="51"/>
      <c r="D52" s="51"/>
      <c r="E52" s="51"/>
      <c r="F52" s="29"/>
      <c r="G52" s="51" t="s">
        <v>130</v>
      </c>
    </row>
  </sheetData>
  <mergeCells count="32">
    <mergeCell ref="B46:E46"/>
    <mergeCell ref="B40:E40"/>
    <mergeCell ref="I1:K1"/>
    <mergeCell ref="B42:E42"/>
    <mergeCell ref="B44:E44"/>
    <mergeCell ref="B25:E25"/>
    <mergeCell ref="B28:E28"/>
    <mergeCell ref="B31:E31"/>
    <mergeCell ref="B29:E29"/>
    <mergeCell ref="B32:E32"/>
    <mergeCell ref="B27:E27"/>
    <mergeCell ref="B30:E30"/>
    <mergeCell ref="B39:E39"/>
    <mergeCell ref="B3:E5"/>
    <mergeCell ref="F3:G3"/>
    <mergeCell ref="J3:K3"/>
    <mergeCell ref="A2:K2"/>
    <mergeCell ref="A3:A5"/>
    <mergeCell ref="H3:I3"/>
    <mergeCell ref="B33:E33"/>
    <mergeCell ref="B36:E36"/>
    <mergeCell ref="B6:E6"/>
    <mergeCell ref="F4:G4"/>
    <mergeCell ref="B9:E9"/>
    <mergeCell ref="B18:E18"/>
    <mergeCell ref="B19:E19"/>
    <mergeCell ref="B24:E24"/>
    <mergeCell ref="B10:E10"/>
    <mergeCell ref="B11:E11"/>
    <mergeCell ref="B12:E12"/>
    <mergeCell ref="H4:I4"/>
    <mergeCell ref="J4:K4"/>
  </mergeCells>
  <pageMargins left="1.5748031496062993" right="0.39370078740157483" top="0.78740157480314965" bottom="0.78740157480314965" header="0.31496062992125984" footer="0.31496062992125984"/>
  <pageSetup paperSize="8" scale="40" orientation="landscape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"/>
  <sheetViews>
    <sheetView topLeftCell="A19" workbookViewId="0">
      <selection activeCell="H35" sqref="H35:K38"/>
    </sheetView>
  </sheetViews>
  <sheetFormatPr defaultRowHeight="15" x14ac:dyDescent="0.25"/>
  <cols>
    <col min="5" max="5" width="35.85546875" customWidth="1"/>
    <col min="6" max="6" width="22" customWidth="1"/>
    <col min="7" max="7" width="17.42578125" customWidth="1"/>
    <col min="8" max="8" width="23.28515625" customWidth="1"/>
    <col min="9" max="9" width="19.5703125" customWidth="1"/>
    <col min="10" max="10" width="18.5703125" customWidth="1"/>
    <col min="11" max="11" width="23.28515625" customWidth="1"/>
  </cols>
  <sheetData>
    <row r="1" spans="1:11" ht="57.75" customHeight="1" x14ac:dyDescent="0.25">
      <c r="I1" s="78" t="s">
        <v>113</v>
      </c>
      <c r="J1" s="78"/>
      <c r="K1" s="78"/>
    </row>
    <row r="2" spans="1:11" ht="20.25" x14ac:dyDescent="0.25">
      <c r="A2" s="121" t="s">
        <v>117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0.75" customHeight="1" x14ac:dyDescent="0.25">
      <c r="A3" s="83" t="s">
        <v>0</v>
      </c>
      <c r="B3" s="112" t="s">
        <v>1</v>
      </c>
      <c r="C3" s="113"/>
      <c r="D3" s="113"/>
      <c r="E3" s="114"/>
      <c r="F3" s="86" t="s">
        <v>82</v>
      </c>
      <c r="G3" s="87"/>
      <c r="H3" s="86" t="s">
        <v>82</v>
      </c>
      <c r="I3" s="87"/>
      <c r="J3" s="86" t="s">
        <v>82</v>
      </c>
      <c r="K3" s="87"/>
    </row>
    <row r="4" spans="1:11" ht="18.75" x14ac:dyDescent="0.25">
      <c r="A4" s="84"/>
      <c r="B4" s="115"/>
      <c r="C4" s="116"/>
      <c r="D4" s="116"/>
      <c r="E4" s="117"/>
      <c r="F4" s="86" t="s">
        <v>2</v>
      </c>
      <c r="G4" s="87"/>
      <c r="H4" s="86" t="s">
        <v>3</v>
      </c>
      <c r="I4" s="87"/>
      <c r="J4" s="86" t="s">
        <v>4</v>
      </c>
      <c r="K4" s="87"/>
    </row>
    <row r="5" spans="1:11" ht="18.75" x14ac:dyDescent="0.25">
      <c r="A5" s="85"/>
      <c r="B5" s="118"/>
      <c r="C5" s="119"/>
      <c r="D5" s="119"/>
      <c r="E5" s="120"/>
      <c r="F5" s="15" t="s">
        <v>5</v>
      </c>
      <c r="G5" s="15" t="s">
        <v>6</v>
      </c>
      <c r="H5" s="15" t="s">
        <v>5</v>
      </c>
      <c r="I5" s="15" t="s">
        <v>6</v>
      </c>
      <c r="J5" s="15" t="s">
        <v>5</v>
      </c>
      <c r="K5" s="15" t="s">
        <v>6</v>
      </c>
    </row>
    <row r="6" spans="1:11" ht="18.75" x14ac:dyDescent="0.3">
      <c r="A6" s="11">
        <v>1</v>
      </c>
      <c r="B6" s="91">
        <v>2</v>
      </c>
      <c r="C6" s="92"/>
      <c r="D6" s="92"/>
      <c r="E6" s="93"/>
      <c r="F6" s="11"/>
      <c r="G6" s="11"/>
      <c r="H6" s="11"/>
      <c r="I6" s="11"/>
      <c r="J6" s="11"/>
      <c r="K6" s="11"/>
    </row>
    <row r="7" spans="1:11" ht="18.75" x14ac:dyDescent="0.3">
      <c r="A7" s="11">
        <v>1</v>
      </c>
      <c r="B7" s="17" t="s">
        <v>7</v>
      </c>
      <c r="C7" s="17"/>
      <c r="D7" s="17"/>
      <c r="E7" s="17"/>
      <c r="F7" s="12">
        <f>виробництво!F6+транспортування!F6+постачання!F7</f>
        <v>71665.503350000014</v>
      </c>
      <c r="G7" s="12">
        <f>1282.08</f>
        <v>1282.08</v>
      </c>
      <c r="H7" s="12">
        <f>H8+H19+H20+H23</f>
        <v>11617.266544913902</v>
      </c>
      <c r="I7" s="12">
        <v>1282.08</v>
      </c>
      <c r="J7" s="12">
        <v>720.88</v>
      </c>
      <c r="K7" s="12">
        <f>1282.08</f>
        <v>1282.08</v>
      </c>
    </row>
    <row r="8" spans="1:11" ht="18.75" x14ac:dyDescent="0.3">
      <c r="A8" s="13" t="s">
        <v>8</v>
      </c>
      <c r="B8" s="17" t="s">
        <v>9</v>
      </c>
      <c r="C8" s="17"/>
      <c r="D8" s="17"/>
      <c r="E8" s="17"/>
      <c r="F8" s="12">
        <f>F9+F13+F17+F18</f>
        <v>34345.427574150781</v>
      </c>
      <c r="G8" s="12">
        <f>F8/F46*1000</f>
        <v>926.21112696608839</v>
      </c>
      <c r="H8" s="12">
        <f>H9+H13+H17+H18</f>
        <v>8452.0761156865337</v>
      </c>
      <c r="I8" s="12">
        <f>I9+I13+I17+I18</f>
        <v>926.21322495750076</v>
      </c>
      <c r="J8" s="12">
        <f>J9+J13+J17+J18</f>
        <v>520.78825366912668</v>
      </c>
      <c r="K8" s="12">
        <f>J8/J46*1000</f>
        <v>926.20803455418422</v>
      </c>
    </row>
    <row r="9" spans="1:11" ht="18.75" x14ac:dyDescent="0.3">
      <c r="A9" s="13" t="s">
        <v>10</v>
      </c>
      <c r="B9" s="126" t="s">
        <v>11</v>
      </c>
      <c r="C9" s="127"/>
      <c r="D9" s="127"/>
      <c r="E9" s="128"/>
      <c r="F9" s="12">
        <v>31058.09</v>
      </c>
      <c r="G9" s="12">
        <f>F9/F46*1000</f>
        <v>837.55977351595027</v>
      </c>
      <c r="H9" s="12">
        <v>7643.026253080975</v>
      </c>
      <c r="I9" s="12">
        <v>837.56188524187655</v>
      </c>
      <c r="J9" s="12">
        <v>470.94106089756099</v>
      </c>
      <c r="K9" s="12">
        <v>837.56018923676197</v>
      </c>
    </row>
    <row r="10" spans="1:11" ht="0.75" customHeight="1" x14ac:dyDescent="0.3">
      <c r="A10" s="13" t="s">
        <v>12</v>
      </c>
      <c r="B10" s="17" t="s">
        <v>80</v>
      </c>
      <c r="C10" s="17"/>
      <c r="D10" s="17"/>
      <c r="E10" s="17"/>
      <c r="F10" s="12">
        <v>24690.299575977173</v>
      </c>
      <c r="G10" s="12"/>
      <c r="H10" s="12">
        <v>6075.9957330070274</v>
      </c>
      <c r="I10" s="12">
        <v>665.83867075002286</v>
      </c>
      <c r="J10" s="12">
        <v>374.37343180758796</v>
      </c>
      <c r="K10" s="12">
        <v>665.83640129736943</v>
      </c>
    </row>
    <row r="11" spans="1:11" ht="18.75" hidden="1" x14ac:dyDescent="0.3">
      <c r="A11" s="13" t="s">
        <v>14</v>
      </c>
      <c r="B11" s="17" t="s">
        <v>79</v>
      </c>
      <c r="C11" s="17"/>
      <c r="D11" s="17"/>
      <c r="E11" s="17"/>
      <c r="F11" s="12">
        <v>757.29930715250134</v>
      </c>
      <c r="G11" s="12"/>
      <c r="H11" s="12">
        <v>186.36255687009697</v>
      </c>
      <c r="I11" s="12">
        <v>20.422561600870264</v>
      </c>
      <c r="J11" s="12">
        <v>11.482758224612184</v>
      </c>
      <c r="K11" s="12">
        <v>20.421878553626826</v>
      </c>
    </row>
    <row r="12" spans="1:11" ht="18.75" hidden="1" x14ac:dyDescent="0.3">
      <c r="A12" s="13" t="s">
        <v>16</v>
      </c>
      <c r="B12" s="17" t="s">
        <v>81</v>
      </c>
      <c r="C12" s="17"/>
      <c r="D12" s="17"/>
      <c r="E12" s="17"/>
      <c r="F12" s="12">
        <v>5610.4558206439797</v>
      </c>
      <c r="G12" s="12"/>
      <c r="H12" s="12">
        <v>1380.6679632038506</v>
      </c>
      <c r="I12" s="12">
        <v>151.30065289098343</v>
      </c>
      <c r="J12" s="12">
        <v>85.084870865360841</v>
      </c>
      <c r="K12" s="12">
        <v>151.30190938576573</v>
      </c>
    </row>
    <row r="13" spans="1:11" ht="18.75" x14ac:dyDescent="0.3">
      <c r="A13" s="13" t="s">
        <v>84</v>
      </c>
      <c r="B13" s="17" t="s">
        <v>13</v>
      </c>
      <c r="C13" s="17"/>
      <c r="D13" s="17"/>
      <c r="E13" s="17"/>
      <c r="F13" s="12">
        <v>3009.2968225792802</v>
      </c>
      <c r="G13" s="12">
        <f>F13/F46*1000</f>
        <v>81.153282934068713</v>
      </c>
      <c r="H13" s="12">
        <v>740.55037307455586</v>
      </c>
      <c r="I13" s="12">
        <v>81.153279340581946</v>
      </c>
      <c r="J13" s="12">
        <v>45.630786601529877</v>
      </c>
      <c r="K13" s="12">
        <v>81.153279340581946</v>
      </c>
    </row>
    <row r="14" spans="1:11" ht="0.75" customHeight="1" x14ac:dyDescent="0.3">
      <c r="A14" s="13" t="s">
        <v>20</v>
      </c>
      <c r="B14" s="17" t="s">
        <v>15</v>
      </c>
      <c r="C14" s="17"/>
      <c r="D14" s="17"/>
      <c r="E14" s="17"/>
      <c r="F14" s="12">
        <v>0</v>
      </c>
      <c r="G14" s="12"/>
      <c r="H14" s="12">
        <v>0</v>
      </c>
      <c r="I14" s="12">
        <v>0</v>
      </c>
      <c r="J14" s="12">
        <v>0</v>
      </c>
      <c r="K14" s="12">
        <v>0</v>
      </c>
    </row>
    <row r="15" spans="1:11" ht="18.75" hidden="1" x14ac:dyDescent="0.3">
      <c r="A15" s="13" t="s">
        <v>22</v>
      </c>
      <c r="B15" s="17" t="s">
        <v>17</v>
      </c>
      <c r="C15" s="17"/>
      <c r="D15" s="17"/>
      <c r="E15" s="17"/>
      <c r="F15" s="12">
        <v>0</v>
      </c>
      <c r="G15" s="12"/>
      <c r="H15" s="12">
        <v>0</v>
      </c>
      <c r="I15" s="12">
        <v>0</v>
      </c>
      <c r="J15" s="12">
        <v>0</v>
      </c>
      <c r="K15" s="12">
        <v>0</v>
      </c>
    </row>
    <row r="16" spans="1:11" ht="0.75" customHeight="1" x14ac:dyDescent="0.3">
      <c r="A16" s="13" t="s">
        <v>24</v>
      </c>
      <c r="B16" s="17" t="s">
        <v>19</v>
      </c>
      <c r="C16" s="17"/>
      <c r="D16" s="17"/>
      <c r="E16" s="17"/>
      <c r="F16" s="12">
        <v>0</v>
      </c>
      <c r="G16" s="12"/>
      <c r="H16" s="12">
        <v>0</v>
      </c>
      <c r="I16" s="12">
        <v>0</v>
      </c>
      <c r="J16" s="12">
        <v>0</v>
      </c>
      <c r="K16" s="12">
        <v>0</v>
      </c>
    </row>
    <row r="17" spans="1:11" ht="18.75" x14ac:dyDescent="0.3">
      <c r="A17" s="13" t="s">
        <v>85</v>
      </c>
      <c r="B17" s="17" t="s">
        <v>21</v>
      </c>
      <c r="C17" s="17"/>
      <c r="D17" s="17"/>
      <c r="E17" s="17"/>
      <c r="F17" s="12">
        <v>105.6107515714977</v>
      </c>
      <c r="G17" s="12">
        <f>F17/F46*1000</f>
        <v>2.8480604302155381</v>
      </c>
      <c r="H17" s="12">
        <v>25.989489531002981</v>
      </c>
      <c r="I17" s="12">
        <v>2.848060375042178</v>
      </c>
      <c r="J17" s="12">
        <v>1.6014061700358457</v>
      </c>
      <c r="K17" s="12">
        <v>2.848060375042178</v>
      </c>
    </row>
    <row r="18" spans="1:11" ht="18.75" x14ac:dyDescent="0.3">
      <c r="A18" s="13" t="s">
        <v>86</v>
      </c>
      <c r="B18" s="126" t="s">
        <v>23</v>
      </c>
      <c r="C18" s="127"/>
      <c r="D18" s="127"/>
      <c r="E18" s="128"/>
      <c r="F18" s="12">
        <v>172.43</v>
      </c>
      <c r="G18" s="12">
        <f>F18/F46*1000</f>
        <v>4.6500100858538076</v>
      </c>
      <c r="H18" s="12">
        <v>42.51</v>
      </c>
      <c r="I18" s="12">
        <v>4.6500000000000004</v>
      </c>
      <c r="J18" s="12">
        <v>2.6150000000000002</v>
      </c>
      <c r="K18" s="12">
        <f>J18/J46*1000</f>
        <v>4.6507078323966713</v>
      </c>
    </row>
    <row r="19" spans="1:11" ht="18.75" x14ac:dyDescent="0.3">
      <c r="A19" s="13" t="s">
        <v>87</v>
      </c>
      <c r="B19" s="126" t="s">
        <v>25</v>
      </c>
      <c r="C19" s="127"/>
      <c r="D19" s="127"/>
      <c r="E19" s="128"/>
      <c r="F19" s="12">
        <v>5579.8276693053303</v>
      </c>
      <c r="G19" s="12">
        <f>F19/F46*1000</f>
        <v>150.4741340810528</v>
      </c>
      <c r="H19" s="12">
        <v>1373.1206977377931</v>
      </c>
      <c r="I19" s="12">
        <v>150.47411856673449</v>
      </c>
      <c r="J19" s="12">
        <v>84.604054481625937</v>
      </c>
      <c r="K19" s="12">
        <v>150.47411856673449</v>
      </c>
    </row>
    <row r="20" spans="1:11" ht="18.75" x14ac:dyDescent="0.3">
      <c r="A20" s="13" t="s">
        <v>88</v>
      </c>
      <c r="B20" s="17" t="s">
        <v>27</v>
      </c>
      <c r="C20" s="17"/>
      <c r="D20" s="17"/>
      <c r="E20" s="17"/>
      <c r="F20" s="12">
        <f>F21+F22</f>
        <v>1498.58</v>
      </c>
      <c r="G20" s="12">
        <f>G21+G22</f>
        <v>40.41299144266543</v>
      </c>
      <c r="H20" s="12">
        <f>H21+H22</f>
        <v>449.86462819999997</v>
      </c>
      <c r="I20" s="12">
        <f>H20/H46*1000</f>
        <v>49.298180262082234</v>
      </c>
      <c r="J20" s="12">
        <f>J21+J22</f>
        <v>27.638669200000002</v>
      </c>
      <c r="K20" s="12">
        <f>K21+K22</f>
        <v>49.3</v>
      </c>
    </row>
    <row r="21" spans="1:11" ht="18.75" x14ac:dyDescent="0.3">
      <c r="A21" s="13" t="s">
        <v>90</v>
      </c>
      <c r="B21" s="17" t="s">
        <v>29</v>
      </c>
      <c r="C21" s="17"/>
      <c r="D21" s="17"/>
      <c r="E21" s="17"/>
      <c r="F21" s="12">
        <v>1498.58</v>
      </c>
      <c r="G21" s="12">
        <f>F21/F46*1000</f>
        <v>40.41299144266543</v>
      </c>
      <c r="H21" s="12">
        <v>368.74</v>
      </c>
      <c r="I21" s="12">
        <f>H21/H46*1000</f>
        <v>40.40818026208224</v>
      </c>
      <c r="J21" s="12">
        <v>22.64</v>
      </c>
      <c r="K21" s="12">
        <f>40.41</f>
        <v>40.409999999999997</v>
      </c>
    </row>
    <row r="22" spans="1:11" ht="18.75" x14ac:dyDescent="0.3">
      <c r="A22" s="13" t="s">
        <v>91</v>
      </c>
      <c r="B22" s="17" t="s">
        <v>27</v>
      </c>
      <c r="C22" s="17"/>
      <c r="D22" s="17"/>
      <c r="E22" s="17"/>
      <c r="F22" s="12">
        <f>L22*0.7929</f>
        <v>0</v>
      </c>
      <c r="G22" s="12">
        <f>F22/F46*1000</f>
        <v>0</v>
      </c>
      <c r="H22" s="12">
        <f>I22*H46/1000</f>
        <v>81.124628199999989</v>
      </c>
      <c r="I22" s="12">
        <f>8.89</f>
        <v>8.89</v>
      </c>
      <c r="J22" s="12">
        <f>K22*J46/1000</f>
        <v>4.9986692000000001</v>
      </c>
      <c r="K22" s="12">
        <v>8.89</v>
      </c>
    </row>
    <row r="23" spans="1:11" ht="18.75" x14ac:dyDescent="0.3">
      <c r="A23" s="13" t="s">
        <v>89</v>
      </c>
      <c r="B23" s="17" t="s">
        <v>32</v>
      </c>
      <c r="C23" s="17"/>
      <c r="D23" s="17"/>
      <c r="E23" s="17"/>
      <c r="F23" s="12">
        <f t="shared" ref="F23:K23" si="0">F24+F25</f>
        <v>5454.1835466868324</v>
      </c>
      <c r="G23" s="12">
        <f t="shared" si="0"/>
        <v>147.08582324532659</v>
      </c>
      <c r="H23" s="12">
        <f t="shared" si="0"/>
        <v>1342.2051032895752</v>
      </c>
      <c r="I23" s="12">
        <f t="shared" si="0"/>
        <v>147.08580949323678</v>
      </c>
      <c r="J23" s="12">
        <f t="shared" si="0"/>
        <v>82.70214260631414</v>
      </c>
      <c r="K23" s="12">
        <f t="shared" si="0"/>
        <v>147.1</v>
      </c>
    </row>
    <row r="24" spans="1:11" ht="18.75" x14ac:dyDescent="0.3">
      <c r="A24" s="13" t="s">
        <v>92</v>
      </c>
      <c r="B24" s="126" t="s">
        <v>34</v>
      </c>
      <c r="C24" s="127"/>
      <c r="D24" s="127"/>
      <c r="E24" s="128"/>
      <c r="F24" s="12">
        <v>5454.1835466868324</v>
      </c>
      <c r="G24" s="12">
        <f>F24/F46*1000</f>
        <v>147.08582324532659</v>
      </c>
      <c r="H24" s="12">
        <v>1342.2051032895752</v>
      </c>
      <c r="I24" s="12">
        <v>147.08580949323678</v>
      </c>
      <c r="J24" s="12">
        <v>82.70214260631414</v>
      </c>
      <c r="K24" s="12">
        <v>147.09</v>
      </c>
    </row>
    <row r="25" spans="1:11" ht="18.75" x14ac:dyDescent="0.3">
      <c r="A25" s="13" t="s">
        <v>93</v>
      </c>
      <c r="B25" s="123" t="s">
        <v>36</v>
      </c>
      <c r="C25" s="124"/>
      <c r="D25" s="124"/>
      <c r="E25" s="125"/>
      <c r="F25" s="12">
        <f>L25*0.7929</f>
        <v>0</v>
      </c>
      <c r="G25" s="12">
        <f>F25/F46*1000</f>
        <v>0</v>
      </c>
      <c r="H25" s="12">
        <f>L25*0.1951</f>
        <v>0</v>
      </c>
      <c r="I25" s="12">
        <f>H25/H46*1000</f>
        <v>0</v>
      </c>
      <c r="J25" s="12">
        <f>L25*0.012</f>
        <v>0</v>
      </c>
      <c r="K25" s="12">
        <f>J25/J46*1000+0.01</f>
        <v>0.01</v>
      </c>
    </row>
    <row r="26" spans="1:11" ht="18.75" x14ac:dyDescent="0.3">
      <c r="A26" s="13" t="s">
        <v>95</v>
      </c>
      <c r="B26" s="17" t="s">
        <v>38</v>
      </c>
      <c r="C26" s="17"/>
      <c r="D26" s="17"/>
      <c r="E26" s="17"/>
      <c r="F26" s="12">
        <f>F27+F28</f>
        <v>2979.8843686871182</v>
      </c>
      <c r="G26" s="12">
        <f>F26/F46*1000</f>
        <v>80.360101891046853</v>
      </c>
      <c r="H26" s="12">
        <f>H27+H28</f>
        <v>733.3115896444782</v>
      </c>
      <c r="I26" s="12">
        <f>H26/H46*1000</f>
        <v>80.359567453024241</v>
      </c>
      <c r="J26" s="12">
        <f>J27+J28</f>
        <v>45.184181990289943</v>
      </c>
      <c r="K26" s="12">
        <f>J26/J46*1000+0.01</f>
        <v>80.368863893949552</v>
      </c>
    </row>
    <row r="27" spans="1:11" ht="18.75" x14ac:dyDescent="0.3">
      <c r="A27" s="13" t="s">
        <v>94</v>
      </c>
      <c r="B27" s="126" t="s">
        <v>34</v>
      </c>
      <c r="C27" s="127"/>
      <c r="D27" s="127"/>
      <c r="E27" s="128"/>
      <c r="F27" s="12">
        <v>2979.8843686871182</v>
      </c>
      <c r="G27" s="12">
        <f>F27/F46*1000</f>
        <v>80.360101891046853</v>
      </c>
      <c r="H27" s="12">
        <v>733.3115896444782</v>
      </c>
      <c r="I27" s="12">
        <v>80.360094377666982</v>
      </c>
      <c r="J27" s="12">
        <v>45.184181990289943</v>
      </c>
      <c r="K27" s="12">
        <v>80.360094377666982</v>
      </c>
    </row>
    <row r="28" spans="1:11" ht="18.75" x14ac:dyDescent="0.3">
      <c r="A28" s="13" t="s">
        <v>96</v>
      </c>
      <c r="B28" s="123" t="s">
        <v>36</v>
      </c>
      <c r="C28" s="124"/>
      <c r="D28" s="124"/>
      <c r="E28" s="125"/>
      <c r="F28" s="12">
        <f>L28*0.7929</f>
        <v>0</v>
      </c>
      <c r="G28" s="12">
        <f>F28/F46*1000</f>
        <v>0</v>
      </c>
      <c r="H28" s="12">
        <f>L28*0.1951</f>
        <v>0</v>
      </c>
      <c r="I28" s="12">
        <f>H28/H46*1000</f>
        <v>0</v>
      </c>
      <c r="J28" s="12">
        <f>L28*0.012</f>
        <v>0</v>
      </c>
      <c r="K28" s="12">
        <f>J28/J46*1000+0.01</f>
        <v>0.01</v>
      </c>
    </row>
    <row r="29" spans="1:11" ht="18.75" x14ac:dyDescent="0.3">
      <c r="A29" s="13" t="s">
        <v>97</v>
      </c>
      <c r="B29" s="123" t="s">
        <v>42</v>
      </c>
      <c r="C29" s="124"/>
      <c r="D29" s="124"/>
      <c r="E29" s="125"/>
      <c r="F29" s="12">
        <f>F30+F31</f>
        <v>739.37423642789031</v>
      </c>
      <c r="G29" s="12">
        <f>F29/F46*1000</f>
        <v>19.939092133678294</v>
      </c>
      <c r="H29" s="12">
        <f>H30+H31</f>
        <v>181.94421571981442</v>
      </c>
      <c r="I29" s="12">
        <f>I30+I31</f>
        <v>19.939092133678294</v>
      </c>
      <c r="J29" s="12">
        <f>J30+J31</f>
        <v>11.205769779127198</v>
      </c>
      <c r="K29" s="12">
        <f>K30+K31</f>
        <v>19.93909213367829</v>
      </c>
    </row>
    <row r="30" spans="1:11" ht="18.75" x14ac:dyDescent="0.3">
      <c r="A30" s="13" t="s">
        <v>98</v>
      </c>
      <c r="B30" s="126" t="s">
        <v>34</v>
      </c>
      <c r="C30" s="127"/>
      <c r="D30" s="127"/>
      <c r="E30" s="128"/>
      <c r="F30" s="12">
        <v>739.37423642789031</v>
      </c>
      <c r="G30" s="12">
        <f>F30/F46*1000</f>
        <v>19.939092133678294</v>
      </c>
      <c r="H30" s="12">
        <v>181.94421571981442</v>
      </c>
      <c r="I30" s="12">
        <v>19.939092133678294</v>
      </c>
      <c r="J30" s="12">
        <v>11.205769779127198</v>
      </c>
      <c r="K30" s="12">
        <v>19.93909213367829</v>
      </c>
    </row>
    <row r="31" spans="1:11" ht="18.75" x14ac:dyDescent="0.3">
      <c r="A31" s="13" t="s">
        <v>99</v>
      </c>
      <c r="B31" s="123" t="s">
        <v>36</v>
      </c>
      <c r="C31" s="124"/>
      <c r="D31" s="124"/>
      <c r="E31" s="125"/>
      <c r="F31" s="12">
        <f>L31*0.7929</f>
        <v>0</v>
      </c>
      <c r="G31" s="12">
        <f>F31/F46*1000</f>
        <v>0</v>
      </c>
      <c r="H31" s="12">
        <f>L31*0.1951</f>
        <v>0</v>
      </c>
      <c r="I31" s="12">
        <f>H31/H46*1000</f>
        <v>0</v>
      </c>
      <c r="J31" s="12">
        <f>L31*0.012</f>
        <v>0</v>
      </c>
      <c r="K31" s="12">
        <f>J31/J46*1000</f>
        <v>0</v>
      </c>
    </row>
    <row r="32" spans="1:11" ht="18.75" x14ac:dyDescent="0.3">
      <c r="A32" s="13" t="s">
        <v>100</v>
      </c>
      <c r="B32" s="123" t="s">
        <v>46</v>
      </c>
      <c r="C32" s="124"/>
      <c r="D32" s="124"/>
      <c r="E32" s="125"/>
      <c r="F32" s="12"/>
      <c r="G32" s="12"/>
      <c r="H32" s="12"/>
      <c r="I32" s="12"/>
      <c r="J32" s="12"/>
      <c r="K32" s="12"/>
    </row>
    <row r="33" spans="1:11" ht="18.75" x14ac:dyDescent="0.3">
      <c r="A33" s="13" t="s">
        <v>101</v>
      </c>
      <c r="B33" s="123" t="s">
        <v>48</v>
      </c>
      <c r="C33" s="124"/>
      <c r="D33" s="124"/>
      <c r="E33" s="125"/>
      <c r="F33" s="12">
        <f>F7+F26+F29</f>
        <v>75384.761955115013</v>
      </c>
      <c r="G33" s="12">
        <f>G7+G26+G29</f>
        <v>1382.3791940247252</v>
      </c>
      <c r="H33" s="12">
        <v>12653.16</v>
      </c>
      <c r="I33" s="12">
        <f>I7+I26+I29</f>
        <v>1382.3786595867025</v>
      </c>
      <c r="J33" s="12">
        <f>J7+J26+J29</f>
        <v>777.26995176941716</v>
      </c>
      <c r="K33" s="12">
        <f>K7+K26+K29</f>
        <v>1382.3879560276278</v>
      </c>
    </row>
    <row r="34" spans="1:11" ht="18.75" x14ac:dyDescent="0.3">
      <c r="A34" s="13" t="s">
        <v>102</v>
      </c>
      <c r="B34" s="17" t="s">
        <v>50</v>
      </c>
      <c r="C34" s="17"/>
      <c r="D34" s="17"/>
      <c r="E34" s="17"/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</row>
    <row r="35" spans="1:11" ht="18.75" x14ac:dyDescent="0.3">
      <c r="A35" s="13" t="s">
        <v>103</v>
      </c>
      <c r="B35" s="17" t="s">
        <v>52</v>
      </c>
      <c r="C35" s="17"/>
      <c r="D35" s="17"/>
      <c r="E35" s="17"/>
      <c r="F35" s="12">
        <v>0</v>
      </c>
      <c r="G35" s="12"/>
      <c r="H35" s="23">
        <f>I35*H46/1000</f>
        <v>1868.4215549999999</v>
      </c>
      <c r="I35" s="23">
        <v>204.75</v>
      </c>
      <c r="J35" s="23">
        <f>K35*J46/1000</f>
        <v>115.12682999999998</v>
      </c>
      <c r="K35" s="23">
        <f>I35</f>
        <v>204.75</v>
      </c>
    </row>
    <row r="36" spans="1:11" ht="18.75" x14ac:dyDescent="0.3">
      <c r="A36" s="13" t="s">
        <v>104</v>
      </c>
      <c r="B36" s="123" t="s">
        <v>54</v>
      </c>
      <c r="C36" s="124"/>
      <c r="D36" s="124"/>
      <c r="E36" s="125"/>
      <c r="F36" s="12">
        <v>0</v>
      </c>
      <c r="G36" s="12"/>
      <c r="H36" s="23">
        <f>I36*H46/1000</f>
        <v>285.01345754237263</v>
      </c>
      <c r="I36" s="23">
        <f>I35-I38</f>
        <v>31.233050847457605</v>
      </c>
      <c r="J36" s="23">
        <f>K36*J46/1000</f>
        <v>17.561719830508459</v>
      </c>
      <c r="K36" s="23">
        <f>K35-K38</f>
        <v>31.233050847457605</v>
      </c>
    </row>
    <row r="37" spans="1:11" ht="18.75" x14ac:dyDescent="0.3">
      <c r="A37" s="13" t="s">
        <v>105</v>
      </c>
      <c r="B37" s="17" t="s">
        <v>56</v>
      </c>
      <c r="C37" s="17"/>
      <c r="D37" s="17"/>
      <c r="E37" s="17"/>
      <c r="F37" s="12">
        <v>0</v>
      </c>
      <c r="G37" s="12">
        <v>0</v>
      </c>
      <c r="H37" s="23">
        <f>I37*H46/1000</f>
        <v>0</v>
      </c>
      <c r="I37" s="23"/>
      <c r="J37" s="23"/>
      <c r="K37" s="23"/>
    </row>
    <row r="38" spans="1:11" ht="18.75" x14ac:dyDescent="0.3">
      <c r="A38" s="13" t="s">
        <v>106</v>
      </c>
      <c r="B38" s="17" t="s">
        <v>58</v>
      </c>
      <c r="C38" s="17"/>
      <c r="D38" s="17"/>
      <c r="E38" s="17"/>
      <c r="F38" s="12">
        <v>0</v>
      </c>
      <c r="G38" s="12">
        <v>0</v>
      </c>
      <c r="H38" s="19">
        <f>I38*H46/1000</f>
        <v>1583.408097457627</v>
      </c>
      <c r="I38" s="19">
        <f>I35/1.18</f>
        <v>173.5169491525424</v>
      </c>
      <c r="J38" s="19">
        <f>J35-J36</f>
        <v>97.565110169491533</v>
      </c>
      <c r="K38" s="19">
        <f>K35/1.18</f>
        <v>173.5169491525424</v>
      </c>
    </row>
    <row r="39" spans="1:11" ht="18.75" x14ac:dyDescent="0.3">
      <c r="A39" s="13" t="s">
        <v>107</v>
      </c>
      <c r="B39" s="126" t="s">
        <v>60</v>
      </c>
      <c r="C39" s="127"/>
      <c r="D39" s="127"/>
      <c r="E39" s="128"/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</row>
    <row r="40" spans="1:11" ht="18.75" x14ac:dyDescent="0.3">
      <c r="A40" s="13" t="s">
        <v>108</v>
      </c>
      <c r="B40" s="126" t="s">
        <v>62</v>
      </c>
      <c r="C40" s="127"/>
      <c r="D40" s="127"/>
      <c r="E40" s="128"/>
      <c r="F40" s="12">
        <f>F7+F26+F29</f>
        <v>75384.761955115013</v>
      </c>
      <c r="G40" s="12">
        <f>1386.74</f>
        <v>1386.74</v>
      </c>
      <c r="H40" s="12">
        <f>H33+H35</f>
        <v>14521.581555000001</v>
      </c>
      <c r="I40" s="12">
        <f>I33+I35</f>
        <v>1587.1286595867025</v>
      </c>
      <c r="J40" s="12">
        <f>J7+J26+J29</f>
        <v>777.26995176941716</v>
      </c>
      <c r="K40" s="12">
        <f>K33+K35</f>
        <v>1587.1379560276278</v>
      </c>
    </row>
    <row r="41" spans="1:11" ht="2.25" customHeight="1" x14ac:dyDescent="0.3">
      <c r="A41" s="13" t="s">
        <v>69</v>
      </c>
      <c r="B41" s="17" t="s">
        <v>64</v>
      </c>
      <c r="C41" s="17"/>
      <c r="D41" s="17"/>
      <c r="E41" s="17"/>
      <c r="F41" s="12"/>
      <c r="G41" s="12"/>
      <c r="H41" s="12"/>
      <c r="I41" s="12"/>
      <c r="J41" s="12"/>
      <c r="K41" s="12"/>
    </row>
    <row r="42" spans="1:11" ht="18.75" hidden="1" x14ac:dyDescent="0.3">
      <c r="A42" s="13" t="s">
        <v>71</v>
      </c>
      <c r="B42" s="123" t="s">
        <v>66</v>
      </c>
      <c r="C42" s="124"/>
      <c r="D42" s="124"/>
      <c r="E42" s="125"/>
      <c r="F42" s="12"/>
      <c r="G42" s="12"/>
      <c r="H42" s="12"/>
      <c r="I42" s="12"/>
      <c r="J42" s="12"/>
      <c r="K42" s="12"/>
    </row>
    <row r="43" spans="1:11" ht="18.75" hidden="1" x14ac:dyDescent="0.3">
      <c r="A43" s="13" t="s">
        <v>73</v>
      </c>
      <c r="B43" s="17" t="s">
        <v>68</v>
      </c>
      <c r="C43" s="17"/>
      <c r="D43" s="17"/>
      <c r="E43" s="17"/>
      <c r="F43" s="12"/>
      <c r="G43" s="12"/>
      <c r="H43" s="12"/>
      <c r="I43" s="12"/>
      <c r="J43" s="12"/>
      <c r="K43" s="12"/>
    </row>
    <row r="44" spans="1:11" ht="18.75" hidden="1" x14ac:dyDescent="0.3">
      <c r="A44" s="13" t="s">
        <v>75</v>
      </c>
      <c r="B44" s="123" t="s">
        <v>70</v>
      </c>
      <c r="C44" s="124"/>
      <c r="D44" s="124"/>
      <c r="E44" s="125"/>
      <c r="F44" s="12"/>
      <c r="G44" s="12"/>
      <c r="H44" s="12"/>
      <c r="I44" s="12"/>
      <c r="J44" s="12"/>
      <c r="K44" s="12"/>
    </row>
    <row r="45" spans="1:11" ht="18.75" hidden="1" x14ac:dyDescent="0.3">
      <c r="A45" s="13" t="s">
        <v>77</v>
      </c>
      <c r="B45" s="17" t="s">
        <v>72</v>
      </c>
      <c r="C45" s="17"/>
      <c r="D45" s="17"/>
      <c r="E45" s="17"/>
      <c r="F45" s="12"/>
      <c r="G45" s="12"/>
      <c r="H45" s="12"/>
      <c r="I45" s="12"/>
      <c r="J45" s="12"/>
      <c r="K45" s="12"/>
    </row>
    <row r="46" spans="1:11" ht="18.75" x14ac:dyDescent="0.3">
      <c r="A46" s="11" t="s">
        <v>109</v>
      </c>
      <c r="B46" s="126" t="s">
        <v>74</v>
      </c>
      <c r="C46" s="127"/>
      <c r="D46" s="127"/>
      <c r="E46" s="128"/>
      <c r="F46" s="12">
        <v>37081.64</v>
      </c>
      <c r="G46" s="12"/>
      <c r="H46" s="12">
        <v>9125.3799999999992</v>
      </c>
      <c r="I46" s="12"/>
      <c r="J46" s="12">
        <v>562.28</v>
      </c>
      <c r="K46" s="12"/>
    </row>
    <row r="47" spans="1:11" ht="18.75" x14ac:dyDescent="0.3">
      <c r="A47" s="11" t="s">
        <v>110</v>
      </c>
      <c r="B47" s="17" t="s">
        <v>83</v>
      </c>
      <c r="C47" s="17"/>
      <c r="D47" s="17"/>
      <c r="E47" s="17"/>
      <c r="F47" s="12"/>
      <c r="G47" s="12">
        <f>G40</f>
        <v>1386.74</v>
      </c>
      <c r="H47" s="12"/>
      <c r="I47" s="12">
        <f>I40</f>
        <v>1587.1286595867025</v>
      </c>
      <c r="J47" s="12"/>
      <c r="K47" s="12">
        <f>K40</f>
        <v>1587.1379560276278</v>
      </c>
    </row>
    <row r="48" spans="1:11" ht="18.75" x14ac:dyDescent="0.3">
      <c r="A48" s="11" t="s">
        <v>111</v>
      </c>
      <c r="B48" s="17" t="s">
        <v>78</v>
      </c>
      <c r="C48" s="17"/>
      <c r="D48" s="17"/>
      <c r="E48" s="17"/>
      <c r="F48" s="12"/>
      <c r="G48" s="12">
        <f>G47*1.2</f>
        <v>1664.088</v>
      </c>
      <c r="H48" s="12"/>
      <c r="I48" s="12">
        <f>I47*1.2</f>
        <v>1904.554391504043</v>
      </c>
      <c r="J48" s="12"/>
      <c r="K48" s="12">
        <f>K47*1.2</f>
        <v>1904.5655472331532</v>
      </c>
    </row>
    <row r="50" spans="2:11" ht="15.75" x14ac:dyDescent="0.25">
      <c r="B50" s="129" t="s">
        <v>112</v>
      </c>
      <c r="C50" s="129"/>
      <c r="D50" s="129"/>
      <c r="E50" s="129"/>
      <c r="F50" s="129"/>
      <c r="G50" s="129"/>
      <c r="H50" s="129"/>
      <c r="I50" s="129"/>
      <c r="J50" s="129"/>
      <c r="K50" s="129"/>
    </row>
  </sheetData>
  <mergeCells count="30">
    <mergeCell ref="B46:E46"/>
    <mergeCell ref="B50:K50"/>
    <mergeCell ref="B33:E33"/>
    <mergeCell ref="B36:E36"/>
    <mergeCell ref="B39:E39"/>
    <mergeCell ref="B40:E40"/>
    <mergeCell ref="B42:E42"/>
    <mergeCell ref="B44:E44"/>
    <mergeCell ref="B32:E32"/>
    <mergeCell ref="B6:E6"/>
    <mergeCell ref="B9:E9"/>
    <mergeCell ref="B18:E18"/>
    <mergeCell ref="B19:E19"/>
    <mergeCell ref="B24:E24"/>
    <mergeCell ref="B25:E25"/>
    <mergeCell ref="B27:E27"/>
    <mergeCell ref="B28:E28"/>
    <mergeCell ref="B29:E29"/>
    <mergeCell ref="B30:E30"/>
    <mergeCell ref="B31:E31"/>
    <mergeCell ref="I1:K1"/>
    <mergeCell ref="A2:K2"/>
    <mergeCell ref="A3:A5"/>
    <mergeCell ref="B3:E5"/>
    <mergeCell ref="F3:G3"/>
    <mergeCell ref="H3:I3"/>
    <mergeCell ref="J3:K3"/>
    <mergeCell ref="F4:G4"/>
    <mergeCell ref="H4:I4"/>
    <mergeCell ref="J4:K4"/>
  </mergeCells>
  <pageMargins left="0.7" right="0.7" top="0.75" bottom="0.75" header="0.3" footer="0.3"/>
  <pageSetup paperSize="9" scale="6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виробництво</vt:lpstr>
      <vt:lpstr>транспортування</vt:lpstr>
      <vt:lpstr>постачання</vt:lpstr>
      <vt:lpstr>ТЕ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2021-01-04T14:20:39Z</cp:lastPrinted>
  <dcterms:created xsi:type="dcterms:W3CDTF">2020-08-19T10:44:11Z</dcterms:created>
  <dcterms:modified xsi:type="dcterms:W3CDTF">2021-01-04T14:33:43Z</dcterms:modified>
</cp:coreProperties>
</file>